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codeName="ThisWorkbook" autoCompressPictures="0" defaultThemeVersion="124226"/>
  <mc:AlternateContent xmlns:mc="http://schemas.openxmlformats.org/markup-compatibility/2006">
    <mc:Choice Requires="x15">
      <x15ac:absPath xmlns:x15ac="http://schemas.microsoft.com/office/spreadsheetml/2010/11/ac" url="B:\Price Review\2021-25 EDPR\9.0 2021 EDPR - Modelling\Proposal - Dec 17 Final\Capex\"/>
    </mc:Choice>
  </mc:AlternateContent>
  <xr:revisionPtr revIDLastSave="0" documentId="13_ncr:1_{01F35E93-59C2-4D47-9212-E2950C244EA8}" xr6:coauthVersionLast="45" xr6:coauthVersionMax="45" xr10:uidLastSave="{00000000-0000-0000-0000-000000000000}"/>
  <bookViews>
    <workbookView xWindow="-108" yWindow="-108" windowWidth="23256" windowHeight="12576" tabRatio="924" xr2:uid="{00000000-000D-0000-FFFF-FFFF00000000}"/>
  </bookViews>
  <sheets>
    <sheet name="ASD Comments" sheetId="61" r:id="rId1"/>
    <sheet name="Contents" sheetId="1" r:id="rId2"/>
    <sheet name="Assumptions" sheetId="2" r:id="rId3"/>
    <sheet name="Lookups -&gt;" sheetId="27" r:id="rId4"/>
    <sheet name="Lab_Mat" sheetId="29" r:id="rId5"/>
    <sheet name="Escalators" sheetId="28" r:id="rId6"/>
    <sheet name="Lookups" sheetId="30" r:id="rId7"/>
    <sheet name="START" sheetId="48" r:id="rId8"/>
    <sheet name="Inputs -&gt;" sheetId="3" r:id="rId9"/>
    <sheet name="Augmentation" sheetId="4" r:id="rId10"/>
    <sheet name="Connections" sheetId="12" r:id="rId11"/>
    <sheet name="Major_Rebuilds" sheetId="5" r:id="rId12"/>
    <sheet name="Stations" sheetId="6" r:id="rId13"/>
    <sheet name="Lines" sheetId="7" r:id="rId14"/>
    <sheet name="PC&amp;A" sheetId="8" r:id="rId15"/>
    <sheet name="SCADA&amp;Comms" sheetId="9" r:id="rId16"/>
    <sheet name="ESL_1" sheetId="11" r:id="rId17"/>
    <sheet name="ESL_2" sheetId="40" r:id="rId18"/>
    <sheet name="REFCL" sheetId="47" r:id="rId19"/>
    <sheet name="ICT" sheetId="13" r:id="rId20"/>
    <sheet name="Metering_SCS" sheetId="55" r:id="rId21"/>
    <sheet name="Other_NN" sheetId="15" r:id="rId22"/>
    <sheet name="Downer_Contract" sheetId="44" r:id="rId23"/>
    <sheet name="Aggregations &amp; Alloc -&gt;" sheetId="16" r:id="rId24"/>
    <sheet name="Base_Forecast" sheetId="17" r:id="rId25"/>
    <sheet name="Reg_Forecast" sheetId="52" r:id="rId26"/>
    <sheet name="Capex_by_Driver" sheetId="54" r:id="rId27"/>
    <sheet name="Safety" sheetId="53" r:id="rId28"/>
    <sheet name="AusNet_Overheads" sheetId="19" r:id="rId29"/>
    <sheet name="Outputs -&gt;" sheetId="21" r:id="rId30"/>
    <sheet name="RFM_PTRM" sheetId="23" r:id="rId31"/>
    <sheet name="Capex_2016-2026" sheetId="60" r:id="rId32"/>
    <sheet name="DER" sheetId="56" r:id="rId33"/>
    <sheet name="REFCL_view" sheetId="59" r:id="rId34"/>
    <sheet name="RIN Template -&gt;" sheetId="32" r:id="rId35"/>
    <sheet name="2.1 Exp Summary" sheetId="20" r:id="rId36"/>
    <sheet name="2.1.8 Cap Overheads" sheetId="58" r:id="rId37"/>
    <sheet name="2.6 Non-Network" sheetId="26" r:id="rId38"/>
    <sheet name="2.11 Labour" sheetId="57" r:id="rId39"/>
    <sheet name="2.17 Step Changes" sheetId="41" r:id="rId40"/>
    <sheet name="Other -&gt;" sheetId="46" r:id="rId41"/>
    <sheet name="Repex_Analysis" sheetId="42" r:id="rId42"/>
  </sheets>
  <externalReferences>
    <externalReference r:id="rId43"/>
  </externalReferences>
  <definedNames>
    <definedName name="_xlnm._FilterDatabase" localSheetId="35" hidden="1">'2.1 Exp Summary'!$C$18:$L$19</definedName>
    <definedName name="_xlnm._FilterDatabase" localSheetId="28" hidden="1">AusNet_Overheads!$B$21:$O$25</definedName>
    <definedName name="Act_Type_Augex">Lab_Mat!$C$33:$C$49</definedName>
    <definedName name="Act_Type_Augex_Splits">Lab_Mat!$D$33:$H$49</definedName>
    <definedName name="Act_Type_Connections">Lab_Mat!$C$50:$C$61</definedName>
    <definedName name="Act_Type_Connections_Splits">Lab_Mat!$D$50:$H$61</definedName>
    <definedName name="Act_Type_Repex">Lab_Mat!$C$62:$C$98</definedName>
    <definedName name="Act_Type_Repex_Splits">Lab_Mat!$D$62:$H$98</definedName>
    <definedName name="CP_Yr_4">START!$D$13</definedName>
    <definedName name="CP_Yr_5">START!$E$13</definedName>
    <definedName name="CRCP_y5">'[1]1.0 Business &amp; other details'!$G$38</definedName>
    <definedName name="CReg_Period">START!$D$3</definedName>
    <definedName name="Direct_Cost_Splits_Network">Lab_Mat!$D$6:$G$24</definedName>
    <definedName name="Direct_Cost_Splits_Non_Ntwk">Lab_Mat!$D$25:$G$28</definedName>
    <definedName name="Direct_Cost_Type">Lab_Mat!$D$5:$G$5</definedName>
    <definedName name="dms_DollarReal">'[1]1.0 Business &amp; other details'!$C$55</definedName>
    <definedName name="FRCP">'[1]1.0 Business &amp; other details'!$C$35:$G$35</definedName>
    <definedName name="Mat_Type">Lab_Mat!$D$32:$H$32</definedName>
    <definedName name="Millions">Lookups!$D$30</definedName>
    <definedName name="NReg_Period">START!$D$5</definedName>
    <definedName name="_xlnm.Print_Area" localSheetId="39">'2.17 Step Changes'!$A$1:$M$30</definedName>
    <definedName name="_xlnm.Print_Area" localSheetId="1">Contents!$A$1:$H$39</definedName>
    <definedName name="RIN_Asset_Cat_Network">Lab_Mat!$C$6:$C$24</definedName>
    <definedName name="RIN_Asset_Cat_Non_Ntwk">Lab_Mat!$C$25:$C$28</definedName>
    <definedName name="Stub">START!$F$13</definedName>
    <definedName name="Thousands" localSheetId="22">Lookups!$D$31</definedName>
    <definedName name="Thousands">Lookups!$D$31</definedName>
    <definedName name="Yr_1">START!$G$13</definedName>
    <definedName name="Yr_2">START!$H$13</definedName>
    <definedName name="Yr_3">START!$I$13</definedName>
    <definedName name="Yr_4">START!$J$13</definedName>
    <definedName name="Yr_5">START!$K$13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N38" i="13" l="1"/>
  <c r="BM38" i="13"/>
  <c r="BL38" i="13"/>
  <c r="BO23" i="13"/>
  <c r="BO22" i="13"/>
  <c r="BO21" i="13"/>
  <c r="BO20" i="13"/>
  <c r="BO19" i="13"/>
  <c r="BO18" i="13"/>
  <c r="BO17" i="13"/>
  <c r="BO16" i="13"/>
  <c r="BO15" i="13"/>
  <c r="BO14" i="13"/>
  <c r="BO13" i="13"/>
  <c r="BO12" i="13"/>
  <c r="BO11" i="13"/>
  <c r="BO10" i="13"/>
  <c r="BO9" i="13"/>
  <c r="BO8" i="13"/>
  <c r="BN37" i="13"/>
  <c r="BM37" i="13"/>
  <c r="BL37" i="13"/>
  <c r="BN23" i="13"/>
  <c r="BM23" i="13"/>
  <c r="BL23" i="13"/>
  <c r="BN22" i="13"/>
  <c r="BM22" i="13"/>
  <c r="BL22" i="13"/>
  <c r="BN21" i="13"/>
  <c r="BM21" i="13"/>
  <c r="BL21" i="13"/>
  <c r="BN20" i="13"/>
  <c r="BM20" i="13"/>
  <c r="BL20" i="13"/>
  <c r="BN19" i="13"/>
  <c r="BM19" i="13"/>
  <c r="BL19" i="13"/>
  <c r="BN18" i="13"/>
  <c r="BM18" i="13"/>
  <c r="BL18" i="13"/>
  <c r="BN17" i="13"/>
  <c r="BM17" i="13"/>
  <c r="BL17" i="13"/>
  <c r="BN16" i="13"/>
  <c r="BM16" i="13"/>
  <c r="BL16" i="13"/>
  <c r="BN15" i="13"/>
  <c r="BM15" i="13"/>
  <c r="BL15" i="13"/>
  <c r="BN14" i="13"/>
  <c r="BM14" i="13"/>
  <c r="BL14" i="13"/>
  <c r="BN13" i="13"/>
  <c r="BM13" i="13"/>
  <c r="BL13" i="13"/>
  <c r="BN12" i="13"/>
  <c r="BM12" i="13"/>
  <c r="BL12" i="13"/>
  <c r="BN11" i="13"/>
  <c r="BM11" i="13"/>
  <c r="BL11" i="13"/>
  <c r="BN10" i="13"/>
  <c r="BM10" i="13"/>
  <c r="BL10" i="13"/>
  <c r="BN9" i="13"/>
  <c r="BM9" i="13"/>
  <c r="BL9" i="13"/>
  <c r="BN8" i="13"/>
  <c r="BM8" i="13"/>
  <c r="BL8" i="13"/>
  <c r="BN7" i="13"/>
  <c r="BM7" i="13"/>
  <c r="BL7" i="13"/>
  <c r="BN6" i="13"/>
  <c r="BM6" i="13"/>
  <c r="BO7" i="13"/>
  <c r="BO6" i="13"/>
  <c r="BN5" i="13"/>
  <c r="BM5" i="13"/>
  <c r="BL5" i="13"/>
  <c r="BN14" i="15" l="1"/>
  <c r="BN13" i="15"/>
  <c r="BN12" i="15"/>
  <c r="BN11" i="15"/>
  <c r="BN10" i="15"/>
  <c r="BN9" i="15"/>
  <c r="BN8" i="15"/>
  <c r="BN7" i="15"/>
  <c r="BN6" i="15"/>
  <c r="BO18" i="55"/>
  <c r="BO17" i="55"/>
  <c r="BO14" i="55"/>
  <c r="BO13" i="55"/>
  <c r="BO12" i="55"/>
  <c r="BO11" i="55"/>
  <c r="BO10" i="55"/>
  <c r="BM37" i="15" l="1"/>
  <c r="BL37" i="15"/>
  <c r="BK37" i="15"/>
  <c r="BM14" i="15"/>
  <c r="BL14" i="15"/>
  <c r="BK14" i="15"/>
  <c r="BM13" i="15"/>
  <c r="BL13" i="15"/>
  <c r="BK13" i="15"/>
  <c r="BM12" i="15"/>
  <c r="BL12" i="15"/>
  <c r="BK12" i="15"/>
  <c r="BM11" i="15"/>
  <c r="BL11" i="15"/>
  <c r="BK11" i="15"/>
  <c r="BM10" i="15"/>
  <c r="BL10" i="15"/>
  <c r="BK10" i="15"/>
  <c r="BM9" i="15"/>
  <c r="BL9" i="15"/>
  <c r="BK9" i="15"/>
  <c r="BM8" i="15"/>
  <c r="BL8" i="15"/>
  <c r="BK8" i="15"/>
  <c r="BM7" i="15"/>
  <c r="BL7" i="15"/>
  <c r="BK7" i="15"/>
  <c r="BM6" i="15"/>
  <c r="BL6" i="15"/>
  <c r="BK6" i="15"/>
  <c r="BM5" i="15"/>
  <c r="BL5" i="15"/>
  <c r="BK5" i="15"/>
  <c r="BN5" i="55"/>
  <c r="BM5" i="55"/>
  <c r="BL5" i="55"/>
  <c r="L51" i="53" l="1"/>
  <c r="K51" i="53"/>
  <c r="J51" i="53"/>
  <c r="I51" i="53"/>
  <c r="H51" i="53"/>
  <c r="G51" i="53"/>
  <c r="K48" i="53"/>
  <c r="J48" i="53"/>
  <c r="I48" i="53"/>
  <c r="H48" i="53"/>
  <c r="G48" i="53"/>
  <c r="L48" i="53" s="1"/>
  <c r="L43" i="53"/>
  <c r="L42" i="53"/>
  <c r="L44" i="53"/>
  <c r="K44" i="53"/>
  <c r="J44" i="53"/>
  <c r="I44" i="53"/>
  <c r="H44" i="53"/>
  <c r="G44" i="53"/>
  <c r="V30" i="53"/>
  <c r="V29" i="53"/>
  <c r="V28" i="53"/>
  <c r="V27" i="53"/>
  <c r="V26" i="53"/>
  <c r="V25" i="53"/>
  <c r="V24" i="53"/>
  <c r="V23" i="53"/>
  <c r="V22" i="53"/>
  <c r="V21" i="53"/>
  <c r="V20" i="53"/>
  <c r="V19" i="53"/>
  <c r="V18" i="53"/>
  <c r="V17" i="53"/>
  <c r="V16" i="53"/>
  <c r="V15" i="53"/>
  <c r="V14" i="53"/>
  <c r="V13" i="53"/>
  <c r="V12" i="53"/>
  <c r="V11" i="53"/>
  <c r="V10" i="53"/>
  <c r="V9" i="53"/>
  <c r="V8" i="53"/>
  <c r="V7" i="53"/>
  <c r="L30" i="53"/>
  <c r="L29" i="53"/>
  <c r="L28" i="53"/>
  <c r="L27" i="53"/>
  <c r="L26" i="53"/>
  <c r="L25" i="53"/>
  <c r="L24" i="53"/>
  <c r="L23" i="53"/>
  <c r="L22" i="53"/>
  <c r="L21" i="53"/>
  <c r="L20" i="53"/>
  <c r="L19" i="53"/>
  <c r="L18" i="53"/>
  <c r="L17" i="53"/>
  <c r="L16" i="53"/>
  <c r="L15" i="53"/>
  <c r="L14" i="53"/>
  <c r="L13" i="53"/>
  <c r="L12" i="53"/>
  <c r="L11" i="53"/>
  <c r="L10" i="53"/>
  <c r="L9" i="53"/>
  <c r="L8" i="53"/>
  <c r="L7" i="53"/>
  <c r="K36" i="53"/>
  <c r="J36" i="53"/>
  <c r="I36" i="53"/>
  <c r="H36" i="53"/>
  <c r="G36" i="53"/>
  <c r="L36" i="53" s="1"/>
  <c r="K35" i="53"/>
  <c r="J35" i="53"/>
  <c r="I35" i="53"/>
  <c r="H35" i="53"/>
  <c r="G35" i="53"/>
  <c r="L35" i="53" s="1"/>
  <c r="K34" i="53"/>
  <c r="J34" i="53"/>
  <c r="I34" i="53"/>
  <c r="H34" i="53"/>
  <c r="G34" i="53"/>
  <c r="L34" i="53" s="1"/>
  <c r="K33" i="53"/>
  <c r="K37" i="53" s="1"/>
  <c r="J33" i="53"/>
  <c r="J37" i="53" s="1"/>
  <c r="I33" i="53"/>
  <c r="I37" i="53" s="1"/>
  <c r="H33" i="53"/>
  <c r="H37" i="53" s="1"/>
  <c r="G33" i="53"/>
  <c r="L33" i="53" s="1"/>
  <c r="L37" i="53" s="1"/>
  <c r="U36" i="53"/>
  <c r="T36" i="53"/>
  <c r="S36" i="53"/>
  <c r="R36" i="53"/>
  <c r="V36" i="53" s="1"/>
  <c r="Q36" i="53"/>
  <c r="P36" i="53"/>
  <c r="U35" i="53"/>
  <c r="T35" i="53"/>
  <c r="S35" i="53"/>
  <c r="R35" i="53"/>
  <c r="Q35" i="53"/>
  <c r="V35" i="53" s="1"/>
  <c r="P35" i="53"/>
  <c r="U34" i="53"/>
  <c r="T34" i="53"/>
  <c r="S34" i="53"/>
  <c r="R34" i="53"/>
  <c r="V34" i="53" s="1"/>
  <c r="Q34" i="53"/>
  <c r="P34" i="53"/>
  <c r="U33" i="53"/>
  <c r="U37" i="53" s="1"/>
  <c r="T33" i="53"/>
  <c r="T37" i="53" s="1"/>
  <c r="S33" i="53"/>
  <c r="S37" i="53" s="1"/>
  <c r="R33" i="53"/>
  <c r="R37" i="53" s="1"/>
  <c r="Q33" i="53"/>
  <c r="V33" i="53" s="1"/>
  <c r="P33" i="53"/>
  <c r="P37" i="53" s="1"/>
  <c r="BJ40" i="55"/>
  <c r="BI40" i="55"/>
  <c r="BH40" i="55"/>
  <c r="BG40" i="55"/>
  <c r="BF40" i="55"/>
  <c r="Q41" i="55"/>
  <c r="L40" i="55"/>
  <c r="G37" i="53" l="1"/>
  <c r="V37" i="53"/>
  <c r="Q37" i="53"/>
  <c r="Q40" i="55" l="1"/>
  <c r="P40" i="55"/>
  <c r="O40" i="55"/>
  <c r="N40" i="55"/>
  <c r="M40" i="55"/>
  <c r="K11" i="59" l="1"/>
  <c r="J11" i="59"/>
  <c r="I11" i="59"/>
  <c r="H11" i="59"/>
  <c r="F11" i="59"/>
  <c r="E11" i="59"/>
  <c r="D11" i="59"/>
  <c r="G11" i="59"/>
  <c r="K9" i="59"/>
  <c r="J9" i="59"/>
  <c r="I9" i="59"/>
  <c r="H9" i="59"/>
  <c r="G9" i="59"/>
  <c r="K8" i="59"/>
  <c r="J8" i="59"/>
  <c r="I8" i="59"/>
  <c r="H8" i="59"/>
  <c r="G8" i="59"/>
  <c r="K7" i="59"/>
  <c r="J7" i="59"/>
  <c r="I7" i="59"/>
  <c r="H7" i="59"/>
  <c r="G7" i="59"/>
  <c r="BA18" i="55"/>
  <c r="AZ18" i="55"/>
  <c r="AY18" i="55"/>
  <c r="AX18" i="55"/>
  <c r="AW18" i="55"/>
  <c r="AV18" i="55"/>
  <c r="AU18" i="55"/>
  <c r="AT18" i="55"/>
  <c r="BA17" i="55"/>
  <c r="AZ17" i="55"/>
  <c r="AY17" i="55"/>
  <c r="AX17" i="55"/>
  <c r="AW17" i="55"/>
  <c r="AV17" i="55"/>
  <c r="AU17" i="55"/>
  <c r="AT17" i="55"/>
  <c r="BA14" i="55"/>
  <c r="AZ14" i="55"/>
  <c r="AY14" i="55"/>
  <c r="AX14" i="55"/>
  <c r="AW14" i="55"/>
  <c r="AV14" i="55"/>
  <c r="AU14" i="55"/>
  <c r="AT14" i="55"/>
  <c r="BA13" i="55"/>
  <c r="AZ13" i="55"/>
  <c r="AY13" i="55"/>
  <c r="BH13" i="55" s="1"/>
  <c r="AX13" i="55"/>
  <c r="AW13" i="55"/>
  <c r="AV13" i="55"/>
  <c r="AU13" i="55"/>
  <c r="BA12" i="55"/>
  <c r="AZ12" i="55"/>
  <c r="AY12" i="55"/>
  <c r="AX12" i="55"/>
  <c r="AW12" i="55"/>
  <c r="AV12" i="55"/>
  <c r="AU12" i="55"/>
  <c r="AT12" i="55"/>
  <c r="BA11" i="55"/>
  <c r="AZ11" i="55"/>
  <c r="AY11" i="55"/>
  <c r="AX11" i="55"/>
  <c r="BG11" i="55" s="1"/>
  <c r="AW11" i="55"/>
  <c r="AV11" i="55"/>
  <c r="AU11" i="55"/>
  <c r="AT11" i="55"/>
  <c r="BA10" i="55"/>
  <c r="BA37" i="55" s="1"/>
  <c r="AZ10" i="55"/>
  <c r="AY10" i="55"/>
  <c r="AX10" i="55"/>
  <c r="AW10" i="55"/>
  <c r="AW37" i="55" s="1"/>
  <c r="AV10" i="55"/>
  <c r="AU10" i="55"/>
  <c r="AT10" i="55"/>
  <c r="AT13" i="55"/>
  <c r="AR18" i="55"/>
  <c r="AQ18" i="55"/>
  <c r="BI18" i="55" s="1"/>
  <c r="AP18" i="55"/>
  <c r="BH18" i="55" s="1"/>
  <c r="AO18" i="55"/>
  <c r="AN18" i="55"/>
  <c r="AM18" i="55"/>
  <c r="AL18" i="55"/>
  <c r="AK18" i="55"/>
  <c r="AR17" i="55"/>
  <c r="AQ17" i="55"/>
  <c r="AP17" i="55"/>
  <c r="AO17" i="55"/>
  <c r="AN17" i="55"/>
  <c r="AM17" i="55"/>
  <c r="AL17" i="55"/>
  <c r="AK17" i="55"/>
  <c r="AR14" i="55"/>
  <c r="AQ14" i="55"/>
  <c r="AQ37" i="55" s="1"/>
  <c r="AP14" i="55"/>
  <c r="BH14" i="55" s="1"/>
  <c r="AO14" i="55"/>
  <c r="AO37" i="55" s="1"/>
  <c r="AN14" i="55"/>
  <c r="AM14" i="55"/>
  <c r="AL14" i="55"/>
  <c r="AK14" i="55"/>
  <c r="AR13" i="55"/>
  <c r="AQ13" i="55"/>
  <c r="AP13" i="55"/>
  <c r="AO13" i="55"/>
  <c r="AN13" i="55"/>
  <c r="AM13" i="55"/>
  <c r="AL13" i="55"/>
  <c r="AR12" i="55"/>
  <c r="AQ12" i="55"/>
  <c r="AP12" i="55"/>
  <c r="AO12" i="55"/>
  <c r="AN12" i="55"/>
  <c r="AM12" i="55"/>
  <c r="AL12" i="55"/>
  <c r="AK12" i="55"/>
  <c r="AR11" i="55"/>
  <c r="AQ11" i="55"/>
  <c r="AP11" i="55"/>
  <c r="AO11" i="55"/>
  <c r="AN11" i="55"/>
  <c r="AM11" i="55"/>
  <c r="AL11" i="55"/>
  <c r="AK11" i="55"/>
  <c r="AR10" i="55"/>
  <c r="AR37" i="55" s="1"/>
  <c r="AQ10" i="55"/>
  <c r="AP10" i="55"/>
  <c r="AO10" i="55"/>
  <c r="AN10" i="55"/>
  <c r="AN37" i="55" s="1"/>
  <c r="AM10" i="55"/>
  <c r="AL10" i="55"/>
  <c r="AK10" i="55"/>
  <c r="AK13" i="55"/>
  <c r="AI18" i="55"/>
  <c r="AH18" i="55"/>
  <c r="AG18" i="55"/>
  <c r="AF18" i="55"/>
  <c r="BG18" i="55" s="1"/>
  <c r="AE18" i="55"/>
  <c r="AD18" i="55"/>
  <c r="AC18" i="55"/>
  <c r="AB18" i="55"/>
  <c r="AI17" i="55"/>
  <c r="AH17" i="55"/>
  <c r="AG17" i="55"/>
  <c r="AF17" i="55"/>
  <c r="BG17" i="55" s="1"/>
  <c r="AE17" i="55"/>
  <c r="AD17" i="55"/>
  <c r="AC17" i="55"/>
  <c r="AB17" i="55"/>
  <c r="AI14" i="55"/>
  <c r="BJ14" i="55" s="1"/>
  <c r="AH14" i="55"/>
  <c r="AG14" i="55"/>
  <c r="AG37" i="55" s="1"/>
  <c r="AF14" i="55"/>
  <c r="AF37" i="55" s="1"/>
  <c r="AE14" i="55"/>
  <c r="AD14" i="55"/>
  <c r="AC14" i="55"/>
  <c r="AB14" i="55"/>
  <c r="AI13" i="55"/>
  <c r="AH13" i="55"/>
  <c r="AG13" i="55"/>
  <c r="AF13" i="55"/>
  <c r="BG13" i="55" s="1"/>
  <c r="AE13" i="55"/>
  <c r="AD13" i="55"/>
  <c r="AC13" i="55"/>
  <c r="AI12" i="55"/>
  <c r="AH12" i="55"/>
  <c r="AG12" i="55"/>
  <c r="AF12" i="55"/>
  <c r="AE12" i="55"/>
  <c r="AD12" i="55"/>
  <c r="AC12" i="55"/>
  <c r="AB12" i="55"/>
  <c r="AI11" i="55"/>
  <c r="AH11" i="55"/>
  <c r="AG11" i="55"/>
  <c r="AF11" i="55"/>
  <c r="AE11" i="55"/>
  <c r="AD11" i="55"/>
  <c r="AC11" i="55"/>
  <c r="AB11" i="55"/>
  <c r="AI10" i="55"/>
  <c r="AI37" i="55" s="1"/>
  <c r="AH10" i="55"/>
  <c r="AG10" i="55"/>
  <c r="AF10" i="55"/>
  <c r="AE10" i="55"/>
  <c r="AE37" i="55" s="1"/>
  <c r="AD10" i="55"/>
  <c r="AC10" i="55"/>
  <c r="AB10" i="55"/>
  <c r="AB13" i="55"/>
  <c r="Z13" i="55"/>
  <c r="Y13" i="55"/>
  <c r="X13" i="55"/>
  <c r="W13" i="55"/>
  <c r="V13" i="55"/>
  <c r="U13" i="55"/>
  <c r="BE13" i="55" s="1"/>
  <c r="BN13" i="55" s="1"/>
  <c r="T13" i="55"/>
  <c r="Z12" i="55"/>
  <c r="BJ12" i="55" s="1"/>
  <c r="Y12" i="55"/>
  <c r="X12" i="55"/>
  <c r="W12" i="55"/>
  <c r="V12" i="55"/>
  <c r="BF12" i="55" s="1"/>
  <c r="U12" i="55"/>
  <c r="BE12" i="55" s="1"/>
  <c r="BN12" i="55" s="1"/>
  <c r="T12" i="55"/>
  <c r="BD12" i="55" s="1"/>
  <c r="BM12" i="55" s="1"/>
  <c r="S12" i="55"/>
  <c r="BC12" i="55" s="1"/>
  <c r="BL12" i="55" s="1"/>
  <c r="Z11" i="55"/>
  <c r="BJ11" i="55" s="1"/>
  <c r="Y11" i="55"/>
  <c r="X11" i="55"/>
  <c r="W11" i="55"/>
  <c r="V11" i="55"/>
  <c r="BF11" i="55" s="1"/>
  <c r="U11" i="55"/>
  <c r="BE11" i="55" s="1"/>
  <c r="BN11" i="55" s="1"/>
  <c r="T11" i="55"/>
  <c r="S11" i="55"/>
  <c r="Z10" i="55"/>
  <c r="Z37" i="55" s="1"/>
  <c r="Y10" i="55"/>
  <c r="X10" i="55"/>
  <c r="W10" i="55"/>
  <c r="V10" i="55"/>
  <c r="U10" i="55"/>
  <c r="T10" i="55"/>
  <c r="BD10" i="55" s="1"/>
  <c r="BM10" i="55" s="1"/>
  <c r="S10" i="55"/>
  <c r="BC10" i="55" s="1"/>
  <c r="BL10" i="55" s="1"/>
  <c r="S13" i="55"/>
  <c r="Z18" i="55"/>
  <c r="Y18" i="55"/>
  <c r="X18" i="55"/>
  <c r="W18" i="55"/>
  <c r="V18" i="55"/>
  <c r="U18" i="55"/>
  <c r="T18" i="55"/>
  <c r="S18" i="55"/>
  <c r="Z17" i="55"/>
  <c r="Y17" i="55"/>
  <c r="X17" i="55"/>
  <c r="W17" i="55"/>
  <c r="V17" i="55"/>
  <c r="U17" i="55"/>
  <c r="BE17" i="55" s="1"/>
  <c r="BN17" i="55" s="1"/>
  <c r="T17" i="55"/>
  <c r="S17" i="55"/>
  <c r="Z14" i="55"/>
  <c r="Y14" i="55"/>
  <c r="X14" i="55"/>
  <c r="W14" i="55"/>
  <c r="BG14" i="55" s="1"/>
  <c r="V14" i="55"/>
  <c r="U14" i="55"/>
  <c r="T14" i="55"/>
  <c r="S14" i="55"/>
  <c r="BC14" i="55" s="1"/>
  <c r="BL14" i="55" s="1"/>
  <c r="AZ37" i="55"/>
  <c r="AY37" i="55"/>
  <c r="AU37" i="55"/>
  <c r="AH37" i="55"/>
  <c r="Y37" i="55"/>
  <c r="X37" i="55"/>
  <c r="Q37" i="55"/>
  <c r="P37" i="55"/>
  <c r="O37" i="55"/>
  <c r="N37" i="55"/>
  <c r="M37" i="55"/>
  <c r="BJ22" i="55"/>
  <c r="BI22" i="55"/>
  <c r="BH22" i="55"/>
  <c r="BG22" i="55"/>
  <c r="BF22" i="55"/>
  <c r="BE22" i="55"/>
  <c r="BD22" i="55"/>
  <c r="BC22" i="55"/>
  <c r="BJ21" i="55"/>
  <c r="BI21" i="55"/>
  <c r="BH21" i="55"/>
  <c r="BG21" i="55"/>
  <c r="BF21" i="55"/>
  <c r="BE21" i="55"/>
  <c r="BD21" i="55"/>
  <c r="BC21" i="55"/>
  <c r="BJ20" i="55"/>
  <c r="BI20" i="55"/>
  <c r="BH20" i="55"/>
  <c r="BG20" i="55"/>
  <c r="BF20" i="55"/>
  <c r="BE20" i="55"/>
  <c r="BD20" i="55"/>
  <c r="BC20" i="55"/>
  <c r="BJ19" i="55"/>
  <c r="BI19" i="55"/>
  <c r="BH19" i="55"/>
  <c r="BG19" i="55"/>
  <c r="BF19" i="55"/>
  <c r="BE19" i="55"/>
  <c r="BD19" i="55"/>
  <c r="BC19" i="55"/>
  <c r="BJ18" i="55"/>
  <c r="BF18" i="55"/>
  <c r="BE18" i="55"/>
  <c r="BN18" i="55" s="1"/>
  <c r="BJ17" i="55"/>
  <c r="BI17" i="55"/>
  <c r="BH17" i="55"/>
  <c r="BF17" i="55"/>
  <c r="BD17" i="55"/>
  <c r="BM17" i="55" s="1"/>
  <c r="BJ16" i="55"/>
  <c r="BI16" i="55"/>
  <c r="BH16" i="55"/>
  <c r="BG16" i="55"/>
  <c r="BF16" i="55"/>
  <c r="BE16" i="55"/>
  <c r="BD16" i="55"/>
  <c r="BC16" i="55"/>
  <c r="BJ15" i="55"/>
  <c r="BI15" i="55"/>
  <c r="BH15" i="55"/>
  <c r="BG15" i="55"/>
  <c r="BF15" i="55"/>
  <c r="BE15" i="55"/>
  <c r="BD15" i="55"/>
  <c r="BC15" i="55"/>
  <c r="BI14" i="55"/>
  <c r="BF14" i="55"/>
  <c r="BE14" i="55"/>
  <c r="BN14" i="55" s="1"/>
  <c r="BD14" i="55"/>
  <c r="BM14" i="55" s="1"/>
  <c r="BJ13" i="55"/>
  <c r="BI13" i="55"/>
  <c r="BF13" i="55"/>
  <c r="BI12" i="55"/>
  <c r="BH12" i="55"/>
  <c r="BG12" i="55"/>
  <c r="BI11" i="55"/>
  <c r="BH11" i="55"/>
  <c r="BD11" i="55"/>
  <c r="BM11" i="55" s="1"/>
  <c r="BI10" i="55"/>
  <c r="BH10" i="55"/>
  <c r="BG10" i="55"/>
  <c r="BE10" i="55"/>
  <c r="BN10" i="55" s="1"/>
  <c r="CX29" i="47"/>
  <c r="CW29" i="47"/>
  <c r="CV29" i="47"/>
  <c r="CU29" i="47"/>
  <c r="CT29" i="47"/>
  <c r="CS29" i="47"/>
  <c r="CR29" i="47"/>
  <c r="CQ29" i="47"/>
  <c r="CX28" i="47"/>
  <c r="CW28" i="47"/>
  <c r="CV28" i="47"/>
  <c r="CU28" i="47"/>
  <c r="CT28" i="47"/>
  <c r="CS28" i="47"/>
  <c r="CR28" i="47"/>
  <c r="CQ28" i="47"/>
  <c r="CX27" i="47"/>
  <c r="CW27" i="47"/>
  <c r="CV27" i="47"/>
  <c r="CU27" i="47"/>
  <c r="CT27" i="47"/>
  <c r="CS27" i="47"/>
  <c r="CR27" i="47"/>
  <c r="CQ27" i="47"/>
  <c r="CX26" i="47"/>
  <c r="CW26" i="47"/>
  <c r="CV26" i="47"/>
  <c r="CU26" i="47"/>
  <c r="CT26" i="47"/>
  <c r="CS26" i="47"/>
  <c r="CR26" i="47"/>
  <c r="CQ26" i="47"/>
  <c r="CX25" i="47"/>
  <c r="CW25" i="47"/>
  <c r="CV25" i="47"/>
  <c r="CU25" i="47"/>
  <c r="CT25" i="47"/>
  <c r="CS25" i="47"/>
  <c r="CR25" i="47"/>
  <c r="CQ25" i="47"/>
  <c r="CX24" i="47"/>
  <c r="CW24" i="47"/>
  <c r="CV24" i="47"/>
  <c r="CU24" i="47"/>
  <c r="CT24" i="47"/>
  <c r="CS24" i="47"/>
  <c r="CR24" i="47"/>
  <c r="CQ24" i="47"/>
  <c r="CX23" i="47"/>
  <c r="CW23" i="47"/>
  <c r="CV23" i="47"/>
  <c r="CU23" i="47"/>
  <c r="CT23" i="47"/>
  <c r="CS23" i="47"/>
  <c r="CR23" i="47"/>
  <c r="CQ23" i="47"/>
  <c r="CX22" i="47"/>
  <c r="CW22" i="47"/>
  <c r="CV22" i="47"/>
  <c r="CU22" i="47"/>
  <c r="CT22" i="47"/>
  <c r="CS22" i="47"/>
  <c r="CR22" i="47"/>
  <c r="CQ22" i="47"/>
  <c r="CX21" i="47"/>
  <c r="CW21" i="47"/>
  <c r="CV21" i="47"/>
  <c r="CU21" i="47"/>
  <c r="CT21" i="47"/>
  <c r="CS21" i="47"/>
  <c r="CR21" i="47"/>
  <c r="CQ21" i="47"/>
  <c r="CX20" i="47"/>
  <c r="CW20" i="47"/>
  <c r="CV20" i="47"/>
  <c r="CU20" i="47"/>
  <c r="CT20" i="47"/>
  <c r="CS20" i="47"/>
  <c r="CR20" i="47"/>
  <c r="CQ20" i="47"/>
  <c r="CX19" i="47"/>
  <c r="CW19" i="47"/>
  <c r="CV19" i="47"/>
  <c r="CU19" i="47"/>
  <c r="CT19" i="47"/>
  <c r="CS19" i="47"/>
  <c r="CR19" i="47"/>
  <c r="CQ19" i="47"/>
  <c r="CX18" i="47"/>
  <c r="CW18" i="47"/>
  <c r="CV18" i="47"/>
  <c r="CU18" i="47"/>
  <c r="CT18" i="47"/>
  <c r="CS18" i="47"/>
  <c r="CR18" i="47"/>
  <c r="CQ18" i="47"/>
  <c r="CX17" i="47"/>
  <c r="CW17" i="47"/>
  <c r="CV17" i="47"/>
  <c r="CU17" i="47"/>
  <c r="CT17" i="47"/>
  <c r="CS17" i="47"/>
  <c r="CR17" i="47"/>
  <c r="CQ17" i="47"/>
  <c r="CX16" i="47"/>
  <c r="CW16" i="47"/>
  <c r="CV16" i="47"/>
  <c r="CU16" i="47"/>
  <c r="CT16" i="47"/>
  <c r="CS16" i="47"/>
  <c r="CR16" i="47"/>
  <c r="CQ16" i="47"/>
  <c r="CX15" i="47"/>
  <c r="CW15" i="47"/>
  <c r="CV15" i="47"/>
  <c r="CU15" i="47"/>
  <c r="CT15" i="47"/>
  <c r="CS15" i="47"/>
  <c r="CR15" i="47"/>
  <c r="CQ15" i="47"/>
  <c r="CX14" i="47"/>
  <c r="CW14" i="47"/>
  <c r="CV14" i="47"/>
  <c r="CU14" i="47"/>
  <c r="CT14" i="47"/>
  <c r="CS14" i="47"/>
  <c r="CR14" i="47"/>
  <c r="CQ14" i="47"/>
  <c r="CX13" i="47"/>
  <c r="CW13" i="47"/>
  <c r="CV13" i="47"/>
  <c r="CU13" i="47"/>
  <c r="CT13" i="47"/>
  <c r="CS13" i="47"/>
  <c r="CR13" i="47"/>
  <c r="CQ13" i="47"/>
  <c r="CX12" i="47"/>
  <c r="CW12" i="47"/>
  <c r="CV12" i="47"/>
  <c r="CU12" i="47"/>
  <c r="CT12" i="47"/>
  <c r="CS12" i="47"/>
  <c r="CR12" i="47"/>
  <c r="CQ12" i="47"/>
  <c r="CX11" i="47"/>
  <c r="CW11" i="47"/>
  <c r="CV11" i="47"/>
  <c r="CU11" i="47"/>
  <c r="CT11" i="47"/>
  <c r="CS11" i="47"/>
  <c r="CR11" i="47"/>
  <c r="CQ11" i="47"/>
  <c r="CX10" i="47"/>
  <c r="CW10" i="47"/>
  <c r="CV10" i="47"/>
  <c r="CU10" i="47"/>
  <c r="CT10" i="47"/>
  <c r="CS10" i="47"/>
  <c r="CR10" i="47"/>
  <c r="CQ10" i="47"/>
  <c r="CX9" i="47"/>
  <c r="CW9" i="47"/>
  <c r="CV9" i="47"/>
  <c r="CU9" i="47"/>
  <c r="CT9" i="47"/>
  <c r="CS9" i="47"/>
  <c r="CR9" i="47"/>
  <c r="CQ9" i="47"/>
  <c r="CX8" i="47"/>
  <c r="CW8" i="47"/>
  <c r="CV8" i="47"/>
  <c r="CU8" i="47"/>
  <c r="CT8" i="47"/>
  <c r="CS8" i="47"/>
  <c r="CR8" i="47"/>
  <c r="CQ8" i="47"/>
  <c r="CO29" i="47"/>
  <c r="CN29" i="47"/>
  <c r="CM29" i="47"/>
  <c r="CL29" i="47"/>
  <c r="CK29" i="47"/>
  <c r="CJ29" i="47"/>
  <c r="CI29" i="47"/>
  <c r="CH29" i="47"/>
  <c r="CO28" i="47"/>
  <c r="CN28" i="47"/>
  <c r="CM28" i="47"/>
  <c r="CL28" i="47"/>
  <c r="CK28" i="47"/>
  <c r="CJ28" i="47"/>
  <c r="CI28" i="47"/>
  <c r="CH28" i="47"/>
  <c r="CO27" i="47"/>
  <c r="CN27" i="47"/>
  <c r="CM27" i="47"/>
  <c r="CL27" i="47"/>
  <c r="CK27" i="47"/>
  <c r="CJ27" i="47"/>
  <c r="CI27" i="47"/>
  <c r="CH27" i="47"/>
  <c r="CO26" i="47"/>
  <c r="CN26" i="47"/>
  <c r="CM26" i="47"/>
  <c r="CL26" i="47"/>
  <c r="CK26" i="47"/>
  <c r="CJ26" i="47"/>
  <c r="CI26" i="47"/>
  <c r="CH26" i="47"/>
  <c r="CO25" i="47"/>
  <c r="CN25" i="47"/>
  <c r="CM25" i="47"/>
  <c r="CL25" i="47"/>
  <c r="CK25" i="47"/>
  <c r="CJ25" i="47"/>
  <c r="CI25" i="47"/>
  <c r="CH25" i="47"/>
  <c r="CO24" i="47"/>
  <c r="CN24" i="47"/>
  <c r="CM24" i="47"/>
  <c r="CL24" i="47"/>
  <c r="CK24" i="47"/>
  <c r="CJ24" i="47"/>
  <c r="CI24" i="47"/>
  <c r="CH24" i="47"/>
  <c r="CO23" i="47"/>
  <c r="CN23" i="47"/>
  <c r="CM23" i="47"/>
  <c r="CL23" i="47"/>
  <c r="CK23" i="47"/>
  <c r="CJ23" i="47"/>
  <c r="CI23" i="47"/>
  <c r="CH23" i="47"/>
  <c r="CO21" i="47"/>
  <c r="CN21" i="47"/>
  <c r="CM21" i="47"/>
  <c r="CL21" i="47"/>
  <c r="CK21" i="47"/>
  <c r="CJ21" i="47"/>
  <c r="CI21" i="47"/>
  <c r="CH21" i="47"/>
  <c r="CO20" i="47"/>
  <c r="CN20" i="47"/>
  <c r="CM20" i="47"/>
  <c r="CL20" i="47"/>
  <c r="CK20" i="47"/>
  <c r="CJ20" i="47"/>
  <c r="CI20" i="47"/>
  <c r="CH20" i="47"/>
  <c r="CO19" i="47"/>
  <c r="CN19" i="47"/>
  <c r="CM19" i="47"/>
  <c r="CL19" i="47"/>
  <c r="CK19" i="47"/>
  <c r="CJ19" i="47"/>
  <c r="CI19" i="47"/>
  <c r="CH19" i="47"/>
  <c r="CO18" i="47"/>
  <c r="CN18" i="47"/>
  <c r="CM18" i="47"/>
  <c r="CL18" i="47"/>
  <c r="CK18" i="47"/>
  <c r="CJ18" i="47"/>
  <c r="CI18" i="47"/>
  <c r="CH18" i="47"/>
  <c r="CO17" i="47"/>
  <c r="CN17" i="47"/>
  <c r="CM17" i="47"/>
  <c r="CL17" i="47"/>
  <c r="CK17" i="47"/>
  <c r="CJ17" i="47"/>
  <c r="CI17" i="47"/>
  <c r="CH17" i="47"/>
  <c r="CO16" i="47"/>
  <c r="CN16" i="47"/>
  <c r="CM16" i="47"/>
  <c r="CL16" i="47"/>
  <c r="CK16" i="47"/>
  <c r="CJ16" i="47"/>
  <c r="CI16" i="47"/>
  <c r="CH16" i="47"/>
  <c r="CO15" i="47"/>
  <c r="CN15" i="47"/>
  <c r="CM15" i="47"/>
  <c r="CL15" i="47"/>
  <c r="CK15" i="47"/>
  <c r="CJ15" i="47"/>
  <c r="CI15" i="47"/>
  <c r="CH15" i="47"/>
  <c r="CO13" i="47"/>
  <c r="CN13" i="47"/>
  <c r="CM13" i="47"/>
  <c r="CL13" i="47"/>
  <c r="CK13" i="47"/>
  <c r="CJ13" i="47"/>
  <c r="CI13" i="47"/>
  <c r="CH13" i="47"/>
  <c r="CO12" i="47"/>
  <c r="CN12" i="47"/>
  <c r="CM12" i="47"/>
  <c r="CL12" i="47"/>
  <c r="CK12" i="47"/>
  <c r="CJ12" i="47"/>
  <c r="CI12" i="47"/>
  <c r="CH12" i="47"/>
  <c r="CO11" i="47"/>
  <c r="CN11" i="47"/>
  <c r="CM11" i="47"/>
  <c r="CL11" i="47"/>
  <c r="CK11" i="47"/>
  <c r="CJ11" i="47"/>
  <c r="CI11" i="47"/>
  <c r="CH11" i="47"/>
  <c r="CO10" i="47"/>
  <c r="CN10" i="47"/>
  <c r="CM10" i="47"/>
  <c r="CL10" i="47"/>
  <c r="CK10" i="47"/>
  <c r="CJ10" i="47"/>
  <c r="CI10" i="47"/>
  <c r="CH10" i="47"/>
  <c r="CO9" i="47"/>
  <c r="CN9" i="47"/>
  <c r="CM9" i="47"/>
  <c r="CL9" i="47"/>
  <c r="CK9" i="47"/>
  <c r="CJ9" i="47"/>
  <c r="CI9" i="47"/>
  <c r="CH9" i="47"/>
  <c r="CO8" i="47"/>
  <c r="CN8" i="47"/>
  <c r="CM8" i="47"/>
  <c r="CL8" i="47"/>
  <c r="CK8" i="47"/>
  <c r="CJ8" i="47"/>
  <c r="CI8" i="47"/>
  <c r="CH8" i="47"/>
  <c r="CF29" i="47"/>
  <c r="CE29" i="47"/>
  <c r="CD29" i="47"/>
  <c r="CC29" i="47"/>
  <c r="CB29" i="47"/>
  <c r="CA29" i="47"/>
  <c r="BZ29" i="47"/>
  <c r="BY29" i="47"/>
  <c r="CF28" i="47"/>
  <c r="CE28" i="47"/>
  <c r="CD28" i="47"/>
  <c r="CC28" i="47"/>
  <c r="CB28" i="47"/>
  <c r="CA28" i="47"/>
  <c r="BZ28" i="47"/>
  <c r="BY28" i="47"/>
  <c r="CF27" i="47"/>
  <c r="CE27" i="47"/>
  <c r="CD27" i="47"/>
  <c r="CC27" i="47"/>
  <c r="CB27" i="47"/>
  <c r="CA27" i="47"/>
  <c r="BZ27" i="47"/>
  <c r="BY27" i="47"/>
  <c r="CF26" i="47"/>
  <c r="CE26" i="47"/>
  <c r="CD26" i="47"/>
  <c r="CC26" i="47"/>
  <c r="CB26" i="47"/>
  <c r="CA26" i="47"/>
  <c r="BZ26" i="47"/>
  <c r="BY26" i="47"/>
  <c r="CF25" i="47"/>
  <c r="CE25" i="47"/>
  <c r="CD25" i="47"/>
  <c r="CC25" i="47"/>
  <c r="CB25" i="47"/>
  <c r="CA25" i="47"/>
  <c r="BZ25" i="47"/>
  <c r="BY25" i="47"/>
  <c r="CF24" i="47"/>
  <c r="CE24" i="47"/>
  <c r="CD24" i="47"/>
  <c r="CC24" i="47"/>
  <c r="CB24" i="47"/>
  <c r="CA24" i="47"/>
  <c r="BZ24" i="47"/>
  <c r="BY24" i="47"/>
  <c r="CF23" i="47"/>
  <c r="CE23" i="47"/>
  <c r="CD23" i="47"/>
  <c r="CC23" i="47"/>
  <c r="CB23" i="47"/>
  <c r="CA23" i="47"/>
  <c r="BZ23" i="47"/>
  <c r="BY23" i="47"/>
  <c r="CF21" i="47"/>
  <c r="CE21" i="47"/>
  <c r="CD21" i="47"/>
  <c r="CC21" i="47"/>
  <c r="CB21" i="47"/>
  <c r="CA21" i="47"/>
  <c r="BZ21" i="47"/>
  <c r="BY21" i="47"/>
  <c r="CF20" i="47"/>
  <c r="CE20" i="47"/>
  <c r="CD20" i="47"/>
  <c r="CC20" i="47"/>
  <c r="CB20" i="47"/>
  <c r="CA20" i="47"/>
  <c r="BZ20" i="47"/>
  <c r="BY20" i="47"/>
  <c r="CF19" i="47"/>
  <c r="CE19" i="47"/>
  <c r="CD19" i="47"/>
  <c r="CC19" i="47"/>
  <c r="CB19" i="47"/>
  <c r="CA19" i="47"/>
  <c r="BZ19" i="47"/>
  <c r="BY19" i="47"/>
  <c r="CF18" i="47"/>
  <c r="CE18" i="47"/>
  <c r="CD18" i="47"/>
  <c r="CC18" i="47"/>
  <c r="CB18" i="47"/>
  <c r="CA18" i="47"/>
  <c r="BZ18" i="47"/>
  <c r="BY18" i="47"/>
  <c r="CF17" i="47"/>
  <c r="CE17" i="47"/>
  <c r="CD17" i="47"/>
  <c r="CC17" i="47"/>
  <c r="CB17" i="47"/>
  <c r="CA17" i="47"/>
  <c r="BZ17" i="47"/>
  <c r="BY17" i="47"/>
  <c r="CF16" i="47"/>
  <c r="CE16" i="47"/>
  <c r="CD16" i="47"/>
  <c r="CC16" i="47"/>
  <c r="CB16" i="47"/>
  <c r="CA16" i="47"/>
  <c r="BZ16" i="47"/>
  <c r="BY16" i="47"/>
  <c r="CF15" i="47"/>
  <c r="CE15" i="47"/>
  <c r="CD15" i="47"/>
  <c r="CC15" i="47"/>
  <c r="CB15" i="47"/>
  <c r="CA15" i="47"/>
  <c r="BZ15" i="47"/>
  <c r="BY15" i="47"/>
  <c r="CF13" i="47"/>
  <c r="CE13" i="47"/>
  <c r="CD13" i="47"/>
  <c r="CC13" i="47"/>
  <c r="CB13" i="47"/>
  <c r="CA13" i="47"/>
  <c r="BZ13" i="47"/>
  <c r="BY13" i="47"/>
  <c r="CF12" i="47"/>
  <c r="CE12" i="47"/>
  <c r="CD12" i="47"/>
  <c r="CC12" i="47"/>
  <c r="CB12" i="47"/>
  <c r="CA12" i="47"/>
  <c r="BZ12" i="47"/>
  <c r="BY12" i="47"/>
  <c r="CF11" i="47"/>
  <c r="CE11" i="47"/>
  <c r="CD11" i="47"/>
  <c r="CC11" i="47"/>
  <c r="CB11" i="47"/>
  <c r="CA11" i="47"/>
  <c r="BZ11" i="47"/>
  <c r="BY11" i="47"/>
  <c r="CF10" i="47"/>
  <c r="CE10" i="47"/>
  <c r="CD10" i="47"/>
  <c r="CC10" i="47"/>
  <c r="CB10" i="47"/>
  <c r="CA10" i="47"/>
  <c r="BZ10" i="47"/>
  <c r="BY10" i="47"/>
  <c r="CF9" i="47"/>
  <c r="CE9" i="47"/>
  <c r="CD9" i="47"/>
  <c r="CC9" i="47"/>
  <c r="CB9" i="47"/>
  <c r="CA9" i="47"/>
  <c r="BZ9" i="47"/>
  <c r="BY9" i="47"/>
  <c r="CF8" i="47"/>
  <c r="CE8" i="47"/>
  <c r="CD8" i="47"/>
  <c r="CC8" i="47"/>
  <c r="CB8" i="47"/>
  <c r="CA8" i="47"/>
  <c r="BZ8" i="47"/>
  <c r="BY8" i="47"/>
  <c r="BV29" i="47"/>
  <c r="BU29" i="47"/>
  <c r="BT29" i="47"/>
  <c r="BS29" i="47"/>
  <c r="BW29" i="47" s="1"/>
  <c r="BR29" i="47"/>
  <c r="BV28" i="47"/>
  <c r="BU28" i="47"/>
  <c r="BT28" i="47"/>
  <c r="BS28" i="47"/>
  <c r="BR28" i="47"/>
  <c r="BV27" i="47"/>
  <c r="BU27" i="47"/>
  <c r="BW27" i="47" s="1"/>
  <c r="BT27" i="47"/>
  <c r="BS27" i="47"/>
  <c r="BR27" i="47"/>
  <c r="BV26" i="47"/>
  <c r="BU26" i="47"/>
  <c r="BT26" i="47"/>
  <c r="BS26" i="47"/>
  <c r="BR26" i="47"/>
  <c r="BW26" i="47" s="1"/>
  <c r="BV25" i="47"/>
  <c r="BU25" i="47"/>
  <c r="BT25" i="47"/>
  <c r="BS25" i="47"/>
  <c r="BW25" i="47" s="1"/>
  <c r="BR25" i="47"/>
  <c r="BV24" i="47"/>
  <c r="BU24" i="47"/>
  <c r="BT24" i="47"/>
  <c r="BS24" i="47"/>
  <c r="BR24" i="47"/>
  <c r="BV23" i="47"/>
  <c r="BU23" i="47"/>
  <c r="BW23" i="47" s="1"/>
  <c r="BT23" i="47"/>
  <c r="BS23" i="47"/>
  <c r="BR23" i="47"/>
  <c r="BV21" i="47"/>
  <c r="BU21" i="47"/>
  <c r="BT21" i="47"/>
  <c r="BS21" i="47"/>
  <c r="BW21" i="47" s="1"/>
  <c r="BR21" i="47"/>
  <c r="BV20" i="47"/>
  <c r="BU20" i="47"/>
  <c r="BT20" i="47"/>
  <c r="BW20" i="47" s="1"/>
  <c r="BS20" i="47"/>
  <c r="BR20" i="47"/>
  <c r="BV19" i="47"/>
  <c r="BU19" i="47"/>
  <c r="BT19" i="47"/>
  <c r="BS19" i="47"/>
  <c r="BR19" i="47"/>
  <c r="BV18" i="47"/>
  <c r="BU18" i="47"/>
  <c r="BT18" i="47"/>
  <c r="BS18" i="47"/>
  <c r="BR18" i="47"/>
  <c r="BW18" i="47" s="1"/>
  <c r="BV17" i="47"/>
  <c r="BU17" i="47"/>
  <c r="BT17" i="47"/>
  <c r="BS17" i="47"/>
  <c r="BW17" i="47" s="1"/>
  <c r="BR17" i="47"/>
  <c r="BV16" i="47"/>
  <c r="BU16" i="47"/>
  <c r="BT16" i="47"/>
  <c r="BW16" i="47" s="1"/>
  <c r="BS16" i="47"/>
  <c r="BR16" i="47"/>
  <c r="BV15" i="47"/>
  <c r="BU15" i="47"/>
  <c r="BT15" i="47"/>
  <c r="BS15" i="47"/>
  <c r="BR15" i="47"/>
  <c r="BV13" i="47"/>
  <c r="BU13" i="47"/>
  <c r="BT13" i="47"/>
  <c r="BS13" i="47"/>
  <c r="BW13" i="47" s="1"/>
  <c r="BR13" i="47"/>
  <c r="BV12" i="47"/>
  <c r="BU12" i="47"/>
  <c r="BT12" i="47"/>
  <c r="BW12" i="47" s="1"/>
  <c r="BS12" i="47"/>
  <c r="BR12" i="47"/>
  <c r="BV11" i="47"/>
  <c r="BU11" i="47"/>
  <c r="BW11" i="47" s="1"/>
  <c r="BT11" i="47"/>
  <c r="BS11" i="47"/>
  <c r="BR11" i="47"/>
  <c r="BV10" i="47"/>
  <c r="BU10" i="47"/>
  <c r="BT10" i="47"/>
  <c r="BS10" i="47"/>
  <c r="BR10" i="47"/>
  <c r="BV9" i="47"/>
  <c r="BU9" i="47"/>
  <c r="BT9" i="47"/>
  <c r="BS9" i="47"/>
  <c r="BW9" i="47" s="1"/>
  <c r="BR9" i="47"/>
  <c r="BV8" i="47"/>
  <c r="BU8" i="47"/>
  <c r="BT8" i="47"/>
  <c r="BW8" i="47" s="1"/>
  <c r="BS8" i="47"/>
  <c r="BR8" i="47"/>
  <c r="BP29" i="47"/>
  <c r="BO29" i="47"/>
  <c r="BN29" i="47"/>
  <c r="BM29" i="47"/>
  <c r="BQ29" i="47" s="1"/>
  <c r="BP28" i="47"/>
  <c r="BO28" i="47"/>
  <c r="BN28" i="47"/>
  <c r="BM28" i="47"/>
  <c r="BQ28" i="47" s="1"/>
  <c r="BP27" i="47"/>
  <c r="BO27" i="47"/>
  <c r="BN27" i="47"/>
  <c r="BM27" i="47"/>
  <c r="BQ27" i="47" s="1"/>
  <c r="BP26" i="47"/>
  <c r="BO26" i="47"/>
  <c r="BN26" i="47"/>
  <c r="BM26" i="47"/>
  <c r="BP25" i="47"/>
  <c r="BO25" i="47"/>
  <c r="BN25" i="47"/>
  <c r="BM25" i="47"/>
  <c r="BP24" i="47"/>
  <c r="BO24" i="47"/>
  <c r="BN24" i="47"/>
  <c r="BM24" i="47"/>
  <c r="BQ24" i="47" s="1"/>
  <c r="BP23" i="47"/>
  <c r="BO23" i="47"/>
  <c r="BN23" i="47"/>
  <c r="BM23" i="47"/>
  <c r="BQ23" i="47" s="1"/>
  <c r="BP21" i="47"/>
  <c r="BO21" i="47"/>
  <c r="BN21" i="47"/>
  <c r="BM21" i="47"/>
  <c r="BQ21" i="47" s="1"/>
  <c r="BP20" i="47"/>
  <c r="BO20" i="47"/>
  <c r="BN20" i="47"/>
  <c r="BM20" i="47"/>
  <c r="BP19" i="47"/>
  <c r="BO19" i="47"/>
  <c r="BN19" i="47"/>
  <c r="BM19" i="47"/>
  <c r="BQ19" i="47" s="1"/>
  <c r="BP18" i="47"/>
  <c r="BO18" i="47"/>
  <c r="BN18" i="47"/>
  <c r="BM18" i="47"/>
  <c r="BP17" i="47"/>
  <c r="BO17" i="47"/>
  <c r="BN17" i="47"/>
  <c r="BM17" i="47"/>
  <c r="BQ17" i="47" s="1"/>
  <c r="BP16" i="47"/>
  <c r="BO16" i="47"/>
  <c r="BN16" i="47"/>
  <c r="BM16" i="47"/>
  <c r="BQ16" i="47" s="1"/>
  <c r="BP15" i="47"/>
  <c r="BO15" i="47"/>
  <c r="BN15" i="47"/>
  <c r="BM15" i="47"/>
  <c r="BP13" i="47"/>
  <c r="BO13" i="47"/>
  <c r="BN13" i="47"/>
  <c r="BM13" i="47"/>
  <c r="BQ13" i="47" s="1"/>
  <c r="BP12" i="47"/>
  <c r="BO12" i="47"/>
  <c r="BN12" i="47"/>
  <c r="BM12" i="47"/>
  <c r="BQ12" i="47" s="1"/>
  <c r="BP11" i="47"/>
  <c r="BO11" i="47"/>
  <c r="BN11" i="47"/>
  <c r="BM11" i="47"/>
  <c r="BQ11" i="47" s="1"/>
  <c r="BP10" i="47"/>
  <c r="BO10" i="47"/>
  <c r="BN10" i="47"/>
  <c r="BM10" i="47"/>
  <c r="BP9" i="47"/>
  <c r="BO9" i="47"/>
  <c r="BN9" i="47"/>
  <c r="BM9" i="47"/>
  <c r="BQ9" i="47" s="1"/>
  <c r="BP8" i="47"/>
  <c r="BO8" i="47"/>
  <c r="BN8" i="47"/>
  <c r="BM8" i="47"/>
  <c r="BL29" i="47"/>
  <c r="BL28" i="47"/>
  <c r="BL27" i="47"/>
  <c r="BL26" i="47"/>
  <c r="BQ26" i="47" s="1"/>
  <c r="BL25" i="47"/>
  <c r="BL24" i="47"/>
  <c r="BL23" i="47"/>
  <c r="BL21" i="47"/>
  <c r="BL20" i="47"/>
  <c r="BL19" i="47"/>
  <c r="BL18" i="47"/>
  <c r="BL17" i="47"/>
  <c r="BL16" i="47"/>
  <c r="BL15" i="47"/>
  <c r="BL13" i="47"/>
  <c r="BL12" i="47"/>
  <c r="BL11" i="47"/>
  <c r="BL10" i="47"/>
  <c r="BL9" i="47"/>
  <c r="BL8" i="47"/>
  <c r="BJ29" i="47"/>
  <c r="BI29" i="47"/>
  <c r="BH29" i="47"/>
  <c r="BG29" i="47"/>
  <c r="BK29" i="47" s="1"/>
  <c r="BF29" i="47"/>
  <c r="BJ28" i="47"/>
  <c r="BI28" i="47"/>
  <c r="BH28" i="47"/>
  <c r="BG28" i="47"/>
  <c r="BF28" i="47"/>
  <c r="BJ27" i="47"/>
  <c r="BI27" i="47"/>
  <c r="BK27" i="47" s="1"/>
  <c r="BH27" i="47"/>
  <c r="BG27" i="47"/>
  <c r="BF27" i="47"/>
  <c r="BJ26" i="47"/>
  <c r="BI26" i="47"/>
  <c r="BH26" i="47"/>
  <c r="BG26" i="47"/>
  <c r="BF26" i="47"/>
  <c r="BK26" i="47" s="1"/>
  <c r="BJ25" i="47"/>
  <c r="BI25" i="47"/>
  <c r="BH25" i="47"/>
  <c r="BG25" i="47"/>
  <c r="BK25" i="47" s="1"/>
  <c r="BF25" i="47"/>
  <c r="BJ24" i="47"/>
  <c r="BI24" i="47"/>
  <c r="BH24" i="47"/>
  <c r="BG24" i="47"/>
  <c r="BF24" i="47"/>
  <c r="BJ23" i="47"/>
  <c r="BI23" i="47"/>
  <c r="BK23" i="47" s="1"/>
  <c r="BH23" i="47"/>
  <c r="BG23" i="47"/>
  <c r="BF23" i="47"/>
  <c r="BJ21" i="47"/>
  <c r="BI21" i="47"/>
  <c r="BH21" i="47"/>
  <c r="BG21" i="47"/>
  <c r="BK21" i="47" s="1"/>
  <c r="BF21" i="47"/>
  <c r="BJ20" i="47"/>
  <c r="BI20" i="47"/>
  <c r="BH20" i="47"/>
  <c r="BK20" i="47" s="1"/>
  <c r="BG20" i="47"/>
  <c r="BF20" i="47"/>
  <c r="BJ19" i="47"/>
  <c r="BI19" i="47"/>
  <c r="BH19" i="47"/>
  <c r="BG19" i="47"/>
  <c r="BF19" i="47"/>
  <c r="BJ18" i="47"/>
  <c r="BI18" i="47"/>
  <c r="BH18" i="47"/>
  <c r="BG18" i="47"/>
  <c r="BF18" i="47"/>
  <c r="BK18" i="47" s="1"/>
  <c r="BJ17" i="47"/>
  <c r="BI17" i="47"/>
  <c r="BH17" i="47"/>
  <c r="BG17" i="47"/>
  <c r="BK17" i="47" s="1"/>
  <c r="BF17" i="47"/>
  <c r="BJ16" i="47"/>
  <c r="BI16" i="47"/>
  <c r="BH16" i="47"/>
  <c r="BK16" i="47" s="1"/>
  <c r="BG16" i="47"/>
  <c r="BF16" i="47"/>
  <c r="BJ15" i="47"/>
  <c r="BI15" i="47"/>
  <c r="BH15" i="47"/>
  <c r="BG15" i="47"/>
  <c r="BF15" i="47"/>
  <c r="BJ13" i="47"/>
  <c r="BI13" i="47"/>
  <c r="BH13" i="47"/>
  <c r="BG13" i="47"/>
  <c r="BK13" i="47" s="1"/>
  <c r="BF13" i="47"/>
  <c r="BJ12" i="47"/>
  <c r="BI12" i="47"/>
  <c r="BH12" i="47"/>
  <c r="BK12" i="47" s="1"/>
  <c r="BG12" i="47"/>
  <c r="BF12" i="47"/>
  <c r="BJ11" i="47"/>
  <c r="BI11" i="47"/>
  <c r="BK11" i="47" s="1"/>
  <c r="BH11" i="47"/>
  <c r="BG11" i="47"/>
  <c r="BF11" i="47"/>
  <c r="BJ10" i="47"/>
  <c r="BI10" i="47"/>
  <c r="BH10" i="47"/>
  <c r="BG10" i="47"/>
  <c r="BF10" i="47"/>
  <c r="BJ9" i="47"/>
  <c r="BI9" i="47"/>
  <c r="BH9" i="47"/>
  <c r="BG9" i="47"/>
  <c r="BK9" i="47" s="1"/>
  <c r="BF9" i="47"/>
  <c r="BJ8" i="47"/>
  <c r="BI8" i="47"/>
  <c r="BH8" i="47"/>
  <c r="BG8" i="47"/>
  <c r="BF8" i="47"/>
  <c r="BD29" i="47"/>
  <c r="BC29" i="47"/>
  <c r="BB29" i="47"/>
  <c r="BA29" i="47"/>
  <c r="BE29" i="47" s="1"/>
  <c r="AZ29" i="47"/>
  <c r="BD28" i="47"/>
  <c r="BC28" i="47"/>
  <c r="BB28" i="47"/>
  <c r="BA28" i="47"/>
  <c r="AZ28" i="47"/>
  <c r="BD27" i="47"/>
  <c r="BC27" i="47"/>
  <c r="BE27" i="47" s="1"/>
  <c r="BB27" i="47"/>
  <c r="BA27" i="47"/>
  <c r="AZ27" i="47"/>
  <c r="BD26" i="47"/>
  <c r="BC26" i="47"/>
  <c r="BB26" i="47"/>
  <c r="BA26" i="47"/>
  <c r="AZ26" i="47"/>
  <c r="BD25" i="47"/>
  <c r="BC25" i="47"/>
  <c r="BB25" i="47"/>
  <c r="BA25" i="47"/>
  <c r="BE25" i="47" s="1"/>
  <c r="AZ25" i="47"/>
  <c r="BD24" i="47"/>
  <c r="BC24" i="47"/>
  <c r="BB24" i="47"/>
  <c r="BA24" i="47"/>
  <c r="AZ24" i="47"/>
  <c r="BD23" i="47"/>
  <c r="BC23" i="47"/>
  <c r="BE23" i="47" s="1"/>
  <c r="BB23" i="47"/>
  <c r="BA23" i="47"/>
  <c r="AZ23" i="47"/>
  <c r="BD21" i="47"/>
  <c r="BC21" i="47"/>
  <c r="BB21" i="47"/>
  <c r="BA21" i="47"/>
  <c r="AZ21" i="47"/>
  <c r="BD20" i="47"/>
  <c r="BC20" i="47"/>
  <c r="BB20" i="47"/>
  <c r="BA20" i="47"/>
  <c r="AZ20" i="47"/>
  <c r="BE20" i="47" s="1"/>
  <c r="BD19" i="47"/>
  <c r="BC19" i="47"/>
  <c r="BB19" i="47"/>
  <c r="BA19" i="47"/>
  <c r="AZ19" i="47"/>
  <c r="BD18" i="47"/>
  <c r="BC18" i="47"/>
  <c r="BB18" i="47"/>
  <c r="BA18" i="47"/>
  <c r="AZ18" i="47"/>
  <c r="BE18" i="47" s="1"/>
  <c r="BD17" i="47"/>
  <c r="BC17" i="47"/>
  <c r="BB17" i="47"/>
  <c r="BA17" i="47"/>
  <c r="BE17" i="47" s="1"/>
  <c r="AZ17" i="47"/>
  <c r="BD16" i="47"/>
  <c r="BC16" i="47"/>
  <c r="BB16" i="47"/>
  <c r="BA16" i="47"/>
  <c r="AZ16" i="47"/>
  <c r="BE16" i="47" s="1"/>
  <c r="BD15" i="47"/>
  <c r="BC15" i="47"/>
  <c r="BB15" i="47"/>
  <c r="BA15" i="47"/>
  <c r="AZ15" i="47"/>
  <c r="BD13" i="47"/>
  <c r="BC13" i="47"/>
  <c r="BB13" i="47"/>
  <c r="BA13" i="47"/>
  <c r="BE13" i="47" s="1"/>
  <c r="AZ13" i="47"/>
  <c r="BD12" i="47"/>
  <c r="BC12" i="47"/>
  <c r="BB12" i="47"/>
  <c r="BE12" i="47" s="1"/>
  <c r="BA12" i="47"/>
  <c r="AZ12" i="47"/>
  <c r="BD11" i="47"/>
  <c r="BC11" i="47"/>
  <c r="BB11" i="47"/>
  <c r="BA11" i="47"/>
  <c r="BE11" i="47" s="1"/>
  <c r="AZ11" i="47"/>
  <c r="BD10" i="47"/>
  <c r="BC10" i="47"/>
  <c r="BB10" i="47"/>
  <c r="BA10" i="47"/>
  <c r="AZ10" i="47"/>
  <c r="BD9" i="47"/>
  <c r="BC9" i="47"/>
  <c r="BB9" i="47"/>
  <c r="BA9" i="47"/>
  <c r="BE9" i="47" s="1"/>
  <c r="AZ9" i="47"/>
  <c r="BD8" i="47"/>
  <c r="BC8" i="47"/>
  <c r="BB8" i="47"/>
  <c r="BA8" i="47"/>
  <c r="AZ8" i="47"/>
  <c r="AX29" i="47"/>
  <c r="AW29" i="47"/>
  <c r="AV29" i="47"/>
  <c r="AU29" i="47"/>
  <c r="AY29" i="47" s="1"/>
  <c r="AT29" i="47"/>
  <c r="AX28" i="47"/>
  <c r="AW28" i="47"/>
  <c r="AV28" i="47"/>
  <c r="AU28" i="47"/>
  <c r="AT28" i="47"/>
  <c r="AX27" i="47"/>
  <c r="AW27" i="47"/>
  <c r="AV27" i="47"/>
  <c r="AU27" i="47"/>
  <c r="AT27" i="47"/>
  <c r="AY27" i="47" s="1"/>
  <c r="AX26" i="47"/>
  <c r="AW26" i="47"/>
  <c r="AV26" i="47"/>
  <c r="AU26" i="47"/>
  <c r="AT26" i="47"/>
  <c r="AY26" i="47" s="1"/>
  <c r="AX25" i="47"/>
  <c r="AW25" i="47"/>
  <c r="AV25" i="47"/>
  <c r="AU25" i="47"/>
  <c r="AY25" i="47" s="1"/>
  <c r="AT25" i="47"/>
  <c r="AX24" i="47"/>
  <c r="AW24" i="47"/>
  <c r="AV24" i="47"/>
  <c r="AU24" i="47"/>
  <c r="AT24" i="47"/>
  <c r="AX23" i="47"/>
  <c r="AW23" i="47"/>
  <c r="AV23" i="47"/>
  <c r="AU23" i="47"/>
  <c r="AT23" i="47"/>
  <c r="AY23" i="47" s="1"/>
  <c r="AX21" i="47"/>
  <c r="AW21" i="47"/>
  <c r="AV21" i="47"/>
  <c r="AU21" i="47"/>
  <c r="AY21" i="47" s="1"/>
  <c r="AT21" i="47"/>
  <c r="AX20" i="47"/>
  <c r="AW20" i="47"/>
  <c r="AV20" i="47"/>
  <c r="AY20" i="47" s="1"/>
  <c r="AU20" i="47"/>
  <c r="AT20" i="47"/>
  <c r="AX19" i="47"/>
  <c r="AW19" i="47"/>
  <c r="AV19" i="47"/>
  <c r="AU19" i="47"/>
  <c r="AT19" i="47"/>
  <c r="AX18" i="47"/>
  <c r="AW18" i="47"/>
  <c r="AV18" i="47"/>
  <c r="AU18" i="47"/>
  <c r="AT18" i="47"/>
  <c r="AY18" i="47" s="1"/>
  <c r="AX17" i="47"/>
  <c r="AW17" i="47"/>
  <c r="AV17" i="47"/>
  <c r="AU17" i="47"/>
  <c r="AY17" i="47" s="1"/>
  <c r="AT17" i="47"/>
  <c r="AX16" i="47"/>
  <c r="AW16" i="47"/>
  <c r="AV16" i="47"/>
  <c r="AY16" i="47" s="1"/>
  <c r="AU16" i="47"/>
  <c r="AT16" i="47"/>
  <c r="AX15" i="47"/>
  <c r="AW15" i="47"/>
  <c r="AV15" i="47"/>
  <c r="AU15" i="47"/>
  <c r="AT15" i="47"/>
  <c r="AX13" i="47"/>
  <c r="AW13" i="47"/>
  <c r="AV13" i="47"/>
  <c r="AU13" i="47"/>
  <c r="AY13" i="47" s="1"/>
  <c r="AT13" i="47"/>
  <c r="AX12" i="47"/>
  <c r="AW12" i="47"/>
  <c r="AV12" i="47"/>
  <c r="AY12" i="47" s="1"/>
  <c r="AU12" i="47"/>
  <c r="AT12" i="47"/>
  <c r="AX11" i="47"/>
  <c r="AW11" i="47"/>
  <c r="AY11" i="47" s="1"/>
  <c r="AV11" i="47"/>
  <c r="AU11" i="47"/>
  <c r="AT11" i="47"/>
  <c r="AX10" i="47"/>
  <c r="AW10" i="47"/>
  <c r="AV10" i="47"/>
  <c r="AU10" i="47"/>
  <c r="AT10" i="47"/>
  <c r="AX9" i="47"/>
  <c r="AW9" i="47"/>
  <c r="AV9" i="47"/>
  <c r="AU9" i="47"/>
  <c r="AY9" i="47" s="1"/>
  <c r="AT9" i="47"/>
  <c r="AX8" i="47"/>
  <c r="AW8" i="47"/>
  <c r="AV8" i="47"/>
  <c r="AU8" i="47"/>
  <c r="AT8" i="47"/>
  <c r="BW28" i="47"/>
  <c r="BW24" i="47"/>
  <c r="BW19" i="47"/>
  <c r="BW15" i="47"/>
  <c r="BW10" i="47"/>
  <c r="BQ25" i="47"/>
  <c r="BQ20" i="47"/>
  <c r="BQ15" i="47"/>
  <c r="BQ10" i="47"/>
  <c r="BK28" i="47"/>
  <c r="BK24" i="47"/>
  <c r="BK19" i="47"/>
  <c r="BK15" i="47"/>
  <c r="BK10" i="47"/>
  <c r="BE28" i="47"/>
  <c r="BE26" i="47"/>
  <c r="BE24" i="47"/>
  <c r="BE21" i="47"/>
  <c r="BE19" i="47"/>
  <c r="BE15" i="47"/>
  <c r="BE10" i="47"/>
  <c r="AY28" i="47"/>
  <c r="AY24" i="47"/>
  <c r="AY19" i="47"/>
  <c r="AY15" i="47"/>
  <c r="AY10" i="47"/>
  <c r="AS29" i="47"/>
  <c r="AS28" i="47"/>
  <c r="AS27" i="47"/>
  <c r="AS26" i="47"/>
  <c r="AS25" i="47"/>
  <c r="AS24" i="47"/>
  <c r="AS23" i="47"/>
  <c r="AS21" i="47"/>
  <c r="AS20" i="47"/>
  <c r="AS19" i="47"/>
  <c r="AS18" i="47"/>
  <c r="AS17" i="47"/>
  <c r="AS16" i="47"/>
  <c r="AS15" i="47"/>
  <c r="AS13" i="47"/>
  <c r="AS12" i="47"/>
  <c r="AS11" i="47"/>
  <c r="AS10" i="47"/>
  <c r="AS9" i="47"/>
  <c r="AS8" i="47"/>
  <c r="AR29" i="47"/>
  <c r="AQ29" i="47"/>
  <c r="AP29" i="47"/>
  <c r="AO29" i="47"/>
  <c r="AN29" i="47"/>
  <c r="AR28" i="47"/>
  <c r="AQ28" i="47"/>
  <c r="AP28" i="47"/>
  <c r="AO28" i="47"/>
  <c r="AN28" i="47"/>
  <c r="AR27" i="47"/>
  <c r="AQ27" i="47"/>
  <c r="AP27" i="47"/>
  <c r="AO27" i="47"/>
  <c r="AN27" i="47"/>
  <c r="AR26" i="47"/>
  <c r="AQ26" i="47"/>
  <c r="AP26" i="47"/>
  <c r="AO26" i="47"/>
  <c r="AN26" i="47"/>
  <c r="AR25" i="47"/>
  <c r="AQ25" i="47"/>
  <c r="AP25" i="47"/>
  <c r="AO25" i="47"/>
  <c r="AN25" i="47"/>
  <c r="AR24" i="47"/>
  <c r="AQ24" i="47"/>
  <c r="AP24" i="47"/>
  <c r="AO24" i="47"/>
  <c r="AN24" i="47"/>
  <c r="AR23" i="47"/>
  <c r="AQ23" i="47"/>
  <c r="AP23" i="47"/>
  <c r="AO23" i="47"/>
  <c r="AN23" i="47"/>
  <c r="AR21" i="47"/>
  <c r="AQ21" i="47"/>
  <c r="AP21" i="47"/>
  <c r="AO21" i="47"/>
  <c r="AN21" i="47"/>
  <c r="AR20" i="47"/>
  <c r="AQ20" i="47"/>
  <c r="AP20" i="47"/>
  <c r="AO20" i="47"/>
  <c r="AN20" i="47"/>
  <c r="AR19" i="47"/>
  <c r="AQ19" i="47"/>
  <c r="AP19" i="47"/>
  <c r="AO19" i="47"/>
  <c r="AN19" i="47"/>
  <c r="AR18" i="47"/>
  <c r="AQ18" i="47"/>
  <c r="AP18" i="47"/>
  <c r="AO18" i="47"/>
  <c r="AN18" i="47"/>
  <c r="AR17" i="47"/>
  <c r="AQ17" i="47"/>
  <c r="AP17" i="47"/>
  <c r="AO17" i="47"/>
  <c r="AN17" i="47"/>
  <c r="AR16" i="47"/>
  <c r="AQ16" i="47"/>
  <c r="AP16" i="47"/>
  <c r="AO16" i="47"/>
  <c r="AN16" i="47"/>
  <c r="AR15" i="47"/>
  <c r="AQ15" i="47"/>
  <c r="AP15" i="47"/>
  <c r="AO15" i="47"/>
  <c r="AN15" i="47"/>
  <c r="AR13" i="47"/>
  <c r="AQ13" i="47"/>
  <c r="AP13" i="47"/>
  <c r="AO13" i="47"/>
  <c r="AN13" i="47"/>
  <c r="AR12" i="47"/>
  <c r="AQ12" i="47"/>
  <c r="AP12" i="47"/>
  <c r="AO12" i="47"/>
  <c r="AN12" i="47"/>
  <c r="AR11" i="47"/>
  <c r="AQ11" i="47"/>
  <c r="AP11" i="47"/>
  <c r="AO11" i="47"/>
  <c r="AN11" i="47"/>
  <c r="AR10" i="47"/>
  <c r="AQ10" i="47"/>
  <c r="AP10" i="47"/>
  <c r="AO10" i="47"/>
  <c r="AN10" i="47"/>
  <c r="AR9" i="47"/>
  <c r="AQ9" i="47"/>
  <c r="AP9" i="47"/>
  <c r="AO9" i="47"/>
  <c r="AN9" i="47"/>
  <c r="AR8" i="47"/>
  <c r="AQ8" i="47"/>
  <c r="AP8" i="47"/>
  <c r="AO8" i="47"/>
  <c r="AN8" i="47"/>
  <c r="AL29" i="47"/>
  <c r="AK29" i="47"/>
  <c r="AJ29" i="47"/>
  <c r="AI29" i="47"/>
  <c r="AM29" i="47" s="1"/>
  <c r="AH29" i="47"/>
  <c r="AL28" i="47"/>
  <c r="AK28" i="47"/>
  <c r="AJ28" i="47"/>
  <c r="AI28" i="47"/>
  <c r="AH28" i="47"/>
  <c r="AL27" i="47"/>
  <c r="AK27" i="47"/>
  <c r="AM27" i="47" s="1"/>
  <c r="AJ27" i="47"/>
  <c r="AI27" i="47"/>
  <c r="AH27" i="47"/>
  <c r="AL26" i="47"/>
  <c r="AK26" i="47"/>
  <c r="AJ26" i="47"/>
  <c r="AI26" i="47"/>
  <c r="AH26" i="47"/>
  <c r="AM26" i="47" s="1"/>
  <c r="AL25" i="47"/>
  <c r="AK25" i="47"/>
  <c r="AJ25" i="47"/>
  <c r="AI25" i="47"/>
  <c r="AM25" i="47" s="1"/>
  <c r="AH25" i="47"/>
  <c r="AL24" i="47"/>
  <c r="AK24" i="47"/>
  <c r="AJ24" i="47"/>
  <c r="AI24" i="47"/>
  <c r="AH24" i="47"/>
  <c r="AL23" i="47"/>
  <c r="AK23" i="47"/>
  <c r="AM23" i="47" s="1"/>
  <c r="AJ23" i="47"/>
  <c r="AI23" i="47"/>
  <c r="AH23" i="47"/>
  <c r="AL21" i="47"/>
  <c r="AK21" i="47"/>
  <c r="AJ21" i="47"/>
  <c r="AI21" i="47"/>
  <c r="AM21" i="47" s="1"/>
  <c r="AH21" i="47"/>
  <c r="AL20" i="47"/>
  <c r="AK20" i="47"/>
  <c r="AJ20" i="47"/>
  <c r="AM20" i="47" s="1"/>
  <c r="AI20" i="47"/>
  <c r="AH20" i="47"/>
  <c r="AL19" i="47"/>
  <c r="AK19" i="47"/>
  <c r="AJ19" i="47"/>
  <c r="AI19" i="47"/>
  <c r="AH19" i="47"/>
  <c r="AL18" i="47"/>
  <c r="AK18" i="47"/>
  <c r="AJ18" i="47"/>
  <c r="AI18" i="47"/>
  <c r="AH18" i="47"/>
  <c r="AM18" i="47" s="1"/>
  <c r="AL17" i="47"/>
  <c r="AK17" i="47"/>
  <c r="AJ17" i="47"/>
  <c r="AI17" i="47"/>
  <c r="AM17" i="47" s="1"/>
  <c r="AH17" i="47"/>
  <c r="AL16" i="47"/>
  <c r="AK16" i="47"/>
  <c r="AJ16" i="47"/>
  <c r="AM16" i="47" s="1"/>
  <c r="AI16" i="47"/>
  <c r="AH16" i="47"/>
  <c r="AL15" i="47"/>
  <c r="AK15" i="47"/>
  <c r="AJ15" i="47"/>
  <c r="AI15" i="47"/>
  <c r="AH15" i="47"/>
  <c r="AL13" i="47"/>
  <c r="AK13" i="47"/>
  <c r="AJ13" i="47"/>
  <c r="AI13" i="47"/>
  <c r="AM13" i="47" s="1"/>
  <c r="AH13" i="47"/>
  <c r="AL12" i="47"/>
  <c r="AK12" i="47"/>
  <c r="AJ12" i="47"/>
  <c r="AM12" i="47" s="1"/>
  <c r="AI12" i="47"/>
  <c r="AH12" i="47"/>
  <c r="AL11" i="47"/>
  <c r="AK11" i="47"/>
  <c r="AM11" i="47" s="1"/>
  <c r="AJ11" i="47"/>
  <c r="AI11" i="47"/>
  <c r="AH11" i="47"/>
  <c r="AL10" i="47"/>
  <c r="AK10" i="47"/>
  <c r="AJ10" i="47"/>
  <c r="AI10" i="47"/>
  <c r="AH10" i="47"/>
  <c r="AL9" i="47"/>
  <c r="AK9" i="47"/>
  <c r="AJ9" i="47"/>
  <c r="AI9" i="47"/>
  <c r="AM9" i="47" s="1"/>
  <c r="AH9" i="47"/>
  <c r="AL8" i="47"/>
  <c r="AK8" i="47"/>
  <c r="AJ8" i="47"/>
  <c r="AI8" i="47"/>
  <c r="AH8" i="47"/>
  <c r="AM28" i="47"/>
  <c r="AM24" i="47"/>
  <c r="AM19" i="47"/>
  <c r="AM15" i="47"/>
  <c r="AM10" i="47"/>
  <c r="AG29" i="47"/>
  <c r="AG28" i="47"/>
  <c r="AG27" i="47"/>
  <c r="AG26" i="47"/>
  <c r="AG25" i="47"/>
  <c r="AG24" i="47"/>
  <c r="AG23" i="47"/>
  <c r="AG21" i="47"/>
  <c r="AG20" i="47"/>
  <c r="AG19" i="47"/>
  <c r="AG18" i="47"/>
  <c r="AG17" i="47"/>
  <c r="AG16" i="47"/>
  <c r="AG15" i="47"/>
  <c r="AG13" i="47"/>
  <c r="AG12" i="47"/>
  <c r="AG11" i="47"/>
  <c r="AG10" i="47"/>
  <c r="AG9" i="47"/>
  <c r="AG8" i="47"/>
  <c r="AF29" i="47"/>
  <c r="AE29" i="47"/>
  <c r="AD29" i="47"/>
  <c r="AC29" i="47"/>
  <c r="AB29" i="47"/>
  <c r="AF28" i="47"/>
  <c r="AE28" i="47"/>
  <c r="AD28" i="47"/>
  <c r="AC28" i="47"/>
  <c r="AB28" i="47"/>
  <c r="AF27" i="47"/>
  <c r="AE27" i="47"/>
  <c r="AD27" i="47"/>
  <c r="AC27" i="47"/>
  <c r="AB27" i="47"/>
  <c r="AF26" i="47"/>
  <c r="AE26" i="47"/>
  <c r="AD26" i="47"/>
  <c r="AC26" i="47"/>
  <c r="AB26" i="47"/>
  <c r="AF25" i="47"/>
  <c r="AE25" i="47"/>
  <c r="AD25" i="47"/>
  <c r="AC25" i="47"/>
  <c r="AB25" i="47"/>
  <c r="AF24" i="47"/>
  <c r="AE24" i="47"/>
  <c r="AD24" i="47"/>
  <c r="AC24" i="47"/>
  <c r="AB24" i="47"/>
  <c r="AF23" i="47"/>
  <c r="AE23" i="47"/>
  <c r="AD23" i="47"/>
  <c r="AC23" i="47"/>
  <c r="AB23" i="47"/>
  <c r="AF21" i="47"/>
  <c r="AE21" i="47"/>
  <c r="AD21" i="47"/>
  <c r="AC21" i="47"/>
  <c r="AB21" i="47"/>
  <c r="AF20" i="47"/>
  <c r="AE20" i="47"/>
  <c r="AD20" i="47"/>
  <c r="AC20" i="47"/>
  <c r="AB20" i="47"/>
  <c r="AF19" i="47"/>
  <c r="AE19" i="47"/>
  <c r="AD19" i="47"/>
  <c r="AC19" i="47"/>
  <c r="AB19" i="47"/>
  <c r="AF18" i="47"/>
  <c r="AE18" i="47"/>
  <c r="AD18" i="47"/>
  <c r="AC18" i="47"/>
  <c r="AB18" i="47"/>
  <c r="AF17" i="47"/>
  <c r="AE17" i="47"/>
  <c r="AD17" i="47"/>
  <c r="AC17" i="47"/>
  <c r="AB17" i="47"/>
  <c r="AF16" i="47"/>
  <c r="AE16" i="47"/>
  <c r="AD16" i="47"/>
  <c r="AC16" i="47"/>
  <c r="AB16" i="47"/>
  <c r="AF15" i="47"/>
  <c r="AE15" i="47"/>
  <c r="AD15" i="47"/>
  <c r="AC15" i="47"/>
  <c r="AB15" i="47"/>
  <c r="AF13" i="47"/>
  <c r="AE13" i="47"/>
  <c r="AD13" i="47"/>
  <c r="AC13" i="47"/>
  <c r="AB13" i="47"/>
  <c r="AF12" i="47"/>
  <c r="AE12" i="47"/>
  <c r="AD12" i="47"/>
  <c r="AC12" i="47"/>
  <c r="AB12" i="47"/>
  <c r="AF11" i="47"/>
  <c r="AE11" i="47"/>
  <c r="AD11" i="47"/>
  <c r="AC11" i="47"/>
  <c r="AB11" i="47"/>
  <c r="AF10" i="47"/>
  <c r="AE10" i="47"/>
  <c r="AD10" i="47"/>
  <c r="AC10" i="47"/>
  <c r="AB10" i="47"/>
  <c r="AF9" i="47"/>
  <c r="AE9" i="47"/>
  <c r="AD9" i="47"/>
  <c r="AC9" i="47"/>
  <c r="AB9" i="47"/>
  <c r="AF8" i="47"/>
  <c r="AE8" i="47"/>
  <c r="AD8" i="47"/>
  <c r="AC8" i="47"/>
  <c r="AB8" i="47"/>
  <c r="Z29" i="47"/>
  <c r="Y29" i="47"/>
  <c r="X29" i="47"/>
  <c r="W29" i="47"/>
  <c r="V29" i="47"/>
  <c r="U29" i="47"/>
  <c r="T29" i="47"/>
  <c r="S29" i="47"/>
  <c r="Z28" i="47"/>
  <c r="Y28" i="47"/>
  <c r="X28" i="47"/>
  <c r="W28" i="47"/>
  <c r="V28" i="47"/>
  <c r="U28" i="47"/>
  <c r="T28" i="47"/>
  <c r="S28" i="47"/>
  <c r="Z27" i="47"/>
  <c r="Y27" i="47"/>
  <c r="X27" i="47"/>
  <c r="W27" i="47"/>
  <c r="V27" i="47"/>
  <c r="U27" i="47"/>
  <c r="T27" i="47"/>
  <c r="S27" i="47"/>
  <c r="Z26" i="47"/>
  <c r="Y26" i="47"/>
  <c r="X26" i="47"/>
  <c r="W26" i="47"/>
  <c r="V26" i="47"/>
  <c r="U26" i="47"/>
  <c r="T26" i="47"/>
  <c r="S26" i="47"/>
  <c r="Z25" i="47"/>
  <c r="Y25" i="47"/>
  <c r="X25" i="47"/>
  <c r="W25" i="47"/>
  <c r="V25" i="47"/>
  <c r="U25" i="47"/>
  <c r="T25" i="47"/>
  <c r="S25" i="47"/>
  <c r="Z24" i="47"/>
  <c r="Y24" i="47"/>
  <c r="X24" i="47"/>
  <c r="W24" i="47"/>
  <c r="V24" i="47"/>
  <c r="U24" i="47"/>
  <c r="T24" i="47"/>
  <c r="S24" i="47"/>
  <c r="Z23" i="47"/>
  <c r="Y23" i="47"/>
  <c r="X23" i="47"/>
  <c r="W23" i="47"/>
  <c r="V23" i="47"/>
  <c r="U23" i="47"/>
  <c r="T23" i="47"/>
  <c r="S23" i="47"/>
  <c r="Z21" i="47"/>
  <c r="Y21" i="47"/>
  <c r="X21" i="47"/>
  <c r="W21" i="47"/>
  <c r="V21" i="47"/>
  <c r="U21" i="47"/>
  <c r="T21" i="47"/>
  <c r="S21" i="47"/>
  <c r="Z20" i="47"/>
  <c r="Y20" i="47"/>
  <c r="X20" i="47"/>
  <c r="W20" i="47"/>
  <c r="V20" i="47"/>
  <c r="U20" i="47"/>
  <c r="T20" i="47"/>
  <c r="S20" i="47"/>
  <c r="Z19" i="47"/>
  <c r="Y19" i="47"/>
  <c r="X19" i="47"/>
  <c r="W19" i="47"/>
  <c r="V19" i="47"/>
  <c r="U19" i="47"/>
  <c r="T19" i="47"/>
  <c r="S19" i="47"/>
  <c r="Z18" i="47"/>
  <c r="Y18" i="47"/>
  <c r="X18" i="47"/>
  <c r="W18" i="47"/>
  <c r="V18" i="47"/>
  <c r="U18" i="47"/>
  <c r="T18" i="47"/>
  <c r="S18" i="47"/>
  <c r="Z17" i="47"/>
  <c r="Y17" i="47"/>
  <c r="X17" i="47"/>
  <c r="W17" i="47"/>
  <c r="V17" i="47"/>
  <c r="U17" i="47"/>
  <c r="T17" i="47"/>
  <c r="S17" i="47"/>
  <c r="Z16" i="47"/>
  <c r="Y16" i="47"/>
  <c r="X16" i="47"/>
  <c r="W16" i="47"/>
  <c r="V16" i="47"/>
  <c r="U16" i="47"/>
  <c r="T16" i="47"/>
  <c r="S16" i="47"/>
  <c r="Z15" i="47"/>
  <c r="Y15" i="47"/>
  <c r="X15" i="47"/>
  <c r="W15" i="47"/>
  <c r="V15" i="47"/>
  <c r="U15" i="47"/>
  <c r="T15" i="47"/>
  <c r="S15" i="47"/>
  <c r="Z13" i="47"/>
  <c r="Y13" i="47"/>
  <c r="X13" i="47"/>
  <c r="W13" i="47"/>
  <c r="V13" i="47"/>
  <c r="U13" i="47"/>
  <c r="T13" i="47"/>
  <c r="S13" i="47"/>
  <c r="Z12" i="47"/>
  <c r="Y12" i="47"/>
  <c r="X12" i="47"/>
  <c r="W12" i="47"/>
  <c r="V12" i="47"/>
  <c r="U12" i="47"/>
  <c r="T12" i="47"/>
  <c r="S12" i="47"/>
  <c r="Z11" i="47"/>
  <c r="Y11" i="47"/>
  <c r="X11" i="47"/>
  <c r="W11" i="47"/>
  <c r="V11" i="47"/>
  <c r="U11" i="47"/>
  <c r="T11" i="47"/>
  <c r="S11" i="47"/>
  <c r="Z10" i="47"/>
  <c r="Y10" i="47"/>
  <c r="X10" i="47"/>
  <c r="W10" i="47"/>
  <c r="V10" i="47"/>
  <c r="U10" i="47"/>
  <c r="T10" i="47"/>
  <c r="S10" i="47"/>
  <c r="Z9" i="47"/>
  <c r="Y9" i="47"/>
  <c r="X9" i="47"/>
  <c r="W9" i="47"/>
  <c r="V9" i="47"/>
  <c r="U9" i="47"/>
  <c r="T9" i="47"/>
  <c r="S9" i="47"/>
  <c r="Z8" i="47"/>
  <c r="Y8" i="47"/>
  <c r="X8" i="47"/>
  <c r="W8" i="47"/>
  <c r="V8" i="47"/>
  <c r="U8" i="47"/>
  <c r="T8" i="47"/>
  <c r="S8" i="47"/>
  <c r="Q37" i="47"/>
  <c r="P37" i="47"/>
  <c r="O37" i="47"/>
  <c r="N37" i="47"/>
  <c r="M37" i="47"/>
  <c r="CJ42" i="40"/>
  <c r="CA42" i="40"/>
  <c r="U42" i="40"/>
  <c r="CX37" i="40"/>
  <c r="CW37" i="40"/>
  <c r="CV37" i="40"/>
  <c r="CU37" i="40"/>
  <c r="CT37" i="40"/>
  <c r="CS37" i="40"/>
  <c r="CR37" i="40"/>
  <c r="CQ37" i="40"/>
  <c r="CO37" i="40"/>
  <c r="CN37" i="40"/>
  <c r="CM37" i="40"/>
  <c r="CL37" i="40"/>
  <c r="CK37" i="40"/>
  <c r="CJ37" i="40"/>
  <c r="CI37" i="40"/>
  <c r="CH37" i="40"/>
  <c r="CF37" i="40"/>
  <c r="CE37" i="40"/>
  <c r="CD37" i="40"/>
  <c r="CC37" i="40"/>
  <c r="CB37" i="40"/>
  <c r="CA37" i="40"/>
  <c r="BZ37" i="40"/>
  <c r="BY37" i="40"/>
  <c r="BW37" i="40"/>
  <c r="BV37" i="40"/>
  <c r="BU37" i="40"/>
  <c r="BT37" i="40"/>
  <c r="BS37" i="40"/>
  <c r="BR37" i="40"/>
  <c r="BQ37" i="40"/>
  <c r="BP37" i="40"/>
  <c r="BO37" i="40"/>
  <c r="BN37" i="40"/>
  <c r="BM37" i="40"/>
  <c r="BL37" i="40"/>
  <c r="BK37" i="40"/>
  <c r="BJ37" i="40"/>
  <c r="BI37" i="40"/>
  <c r="BH37" i="40"/>
  <c r="BG37" i="40"/>
  <c r="BF37" i="40"/>
  <c r="BE37" i="40"/>
  <c r="BD37" i="40"/>
  <c r="BC37" i="40"/>
  <c r="BB37" i="40"/>
  <c r="BA37" i="40"/>
  <c r="AZ37" i="40"/>
  <c r="AY37" i="40"/>
  <c r="AX37" i="40"/>
  <c r="AW37" i="40"/>
  <c r="AV37" i="40"/>
  <c r="AU37" i="40"/>
  <c r="AT37" i="40"/>
  <c r="AS37" i="40"/>
  <c r="AN37" i="40"/>
  <c r="AM37" i="40"/>
  <c r="AL37" i="40"/>
  <c r="AK37" i="40"/>
  <c r="AJ37" i="40"/>
  <c r="AI37" i="40"/>
  <c r="AH37" i="40"/>
  <c r="AG37" i="40"/>
  <c r="Z37" i="40"/>
  <c r="Y37" i="40"/>
  <c r="X37" i="40"/>
  <c r="W37" i="40"/>
  <c r="V37" i="40"/>
  <c r="U37" i="40"/>
  <c r="T37" i="40"/>
  <c r="S37" i="40"/>
  <c r="Q37" i="40"/>
  <c r="P37" i="40"/>
  <c r="O37" i="40"/>
  <c r="N37" i="40"/>
  <c r="M37" i="40"/>
  <c r="S7" i="40"/>
  <c r="T7" i="40"/>
  <c r="U7" i="40"/>
  <c r="V7" i="40"/>
  <c r="CT7" i="40" s="1"/>
  <c r="W7" i="40"/>
  <c r="X7" i="40"/>
  <c r="Y7" i="40"/>
  <c r="Z7" i="40"/>
  <c r="CX7" i="40" s="1"/>
  <c r="AB7" i="40"/>
  <c r="AC7" i="40"/>
  <c r="AD7" i="40"/>
  <c r="AE7" i="40"/>
  <c r="AG7" i="40" s="1"/>
  <c r="CQ7" i="40" s="1"/>
  <c r="AF7" i="40"/>
  <c r="AH7" i="40"/>
  <c r="AI7" i="40"/>
  <c r="AJ7" i="40"/>
  <c r="AK7" i="40"/>
  <c r="AL7" i="40"/>
  <c r="AM7" i="40"/>
  <c r="CR7" i="40" s="1"/>
  <c r="AN7" i="40"/>
  <c r="AO7" i="40"/>
  <c r="AP7" i="40"/>
  <c r="AQ7" i="40"/>
  <c r="AS7" i="40" s="1"/>
  <c r="CS7" i="40" s="1"/>
  <c r="AR7" i="40"/>
  <c r="AT7" i="40"/>
  <c r="AU7" i="40"/>
  <c r="AY7" i="40" s="1"/>
  <c r="AV7" i="40"/>
  <c r="AW7" i="40"/>
  <c r="AX7" i="40"/>
  <c r="AZ7" i="40"/>
  <c r="BE7" i="40" s="1"/>
  <c r="CU7" i="40" s="1"/>
  <c r="BA7" i="40"/>
  <c r="BB7" i="40"/>
  <c r="BC7" i="40"/>
  <c r="BD7" i="40"/>
  <c r="BF7" i="40"/>
  <c r="BG7" i="40"/>
  <c r="BK7" i="40" s="1"/>
  <c r="CV7" i="40" s="1"/>
  <c r="BH7" i="40"/>
  <c r="BI7" i="40"/>
  <c r="BJ7" i="40"/>
  <c r="BL7" i="40"/>
  <c r="BQ7" i="40" s="1"/>
  <c r="CW7" i="40" s="1"/>
  <c r="BM7" i="40"/>
  <c r="BN7" i="40"/>
  <c r="BO7" i="40"/>
  <c r="BP7" i="40"/>
  <c r="BR7" i="40"/>
  <c r="BS7" i="40"/>
  <c r="BW7" i="40" s="1"/>
  <c r="BT7" i="40"/>
  <c r="BU7" i="40"/>
  <c r="BV7" i="40"/>
  <c r="BY7" i="40"/>
  <c r="BZ7" i="40"/>
  <c r="CA7" i="40"/>
  <c r="CB7" i="40"/>
  <c r="CC7" i="40"/>
  <c r="CD7" i="40"/>
  <c r="CE7" i="40"/>
  <c r="CF7" i="40"/>
  <c r="CH7" i="40"/>
  <c r="CI7" i="40"/>
  <c r="CJ7" i="40"/>
  <c r="CK7" i="40"/>
  <c r="CL7" i="40"/>
  <c r="CM7" i="40"/>
  <c r="CN7" i="40"/>
  <c r="CO7" i="40"/>
  <c r="S8" i="40"/>
  <c r="T8" i="40"/>
  <c r="U8" i="40"/>
  <c r="V8" i="40"/>
  <c r="W8" i="40"/>
  <c r="X8" i="40"/>
  <c r="Y8" i="40"/>
  <c r="Z8" i="40"/>
  <c r="AB8" i="40"/>
  <c r="AG8" i="40" s="1"/>
  <c r="CQ8" i="40" s="1"/>
  <c r="AC8" i="40"/>
  <c r="AD8" i="40"/>
  <c r="AE8" i="40"/>
  <c r="AF8" i="40"/>
  <c r="AH8" i="40"/>
  <c r="AI8" i="40"/>
  <c r="AM8" i="40" s="1"/>
  <c r="CR8" i="40" s="1"/>
  <c r="AJ8" i="40"/>
  <c r="AK8" i="40"/>
  <c r="AL8" i="40"/>
  <c r="AN8" i="40"/>
  <c r="AS8" i="40" s="1"/>
  <c r="CS8" i="40" s="1"/>
  <c r="AO8" i="40"/>
  <c r="AP8" i="40"/>
  <c r="AQ8" i="40"/>
  <c r="AR8" i="40"/>
  <c r="AT8" i="40"/>
  <c r="AU8" i="40"/>
  <c r="AY8" i="40" s="1"/>
  <c r="AV8" i="40"/>
  <c r="AW8" i="40"/>
  <c r="AX8" i="40"/>
  <c r="AZ8" i="40"/>
  <c r="BE8" i="40" s="1"/>
  <c r="CU8" i="40" s="1"/>
  <c r="BA8" i="40"/>
  <c r="BB8" i="40"/>
  <c r="BC8" i="40"/>
  <c r="BD8" i="40"/>
  <c r="BF8" i="40"/>
  <c r="BG8" i="40"/>
  <c r="BK8" i="40" s="1"/>
  <c r="CV8" i="40" s="1"/>
  <c r="BH8" i="40"/>
  <c r="BI8" i="40"/>
  <c r="BJ8" i="40"/>
  <c r="BL8" i="40"/>
  <c r="BQ8" i="40" s="1"/>
  <c r="CW8" i="40" s="1"/>
  <c r="BM8" i="40"/>
  <c r="BN8" i="40"/>
  <c r="BO8" i="40"/>
  <c r="BP8" i="40"/>
  <c r="BR8" i="40"/>
  <c r="BS8" i="40"/>
  <c r="BW8" i="40" s="1"/>
  <c r="BT8" i="40"/>
  <c r="BU8" i="40"/>
  <c r="BV8" i="40"/>
  <c r="BY8" i="40"/>
  <c r="BZ8" i="40"/>
  <c r="CA8" i="40"/>
  <c r="CB8" i="40"/>
  <c r="CC8" i="40"/>
  <c r="CD8" i="40"/>
  <c r="CE8" i="40"/>
  <c r="CF8" i="40"/>
  <c r="CH8" i="40"/>
  <c r="CI8" i="40"/>
  <c r="CJ8" i="40"/>
  <c r="CK8" i="40"/>
  <c r="CL8" i="40"/>
  <c r="CM8" i="40"/>
  <c r="CN8" i="40"/>
  <c r="CO8" i="40"/>
  <c r="S9" i="40"/>
  <c r="T9" i="40"/>
  <c r="U9" i="40"/>
  <c r="V9" i="40"/>
  <c r="W9" i="40"/>
  <c r="X9" i="40"/>
  <c r="Y9" i="40"/>
  <c r="Z9" i="40"/>
  <c r="AB9" i="40"/>
  <c r="AG9" i="40" s="1"/>
  <c r="CQ9" i="40" s="1"/>
  <c r="AC9" i="40"/>
  <c r="AD9" i="40"/>
  <c r="AE9" i="40"/>
  <c r="AF9" i="40"/>
  <c r="AH9" i="40"/>
  <c r="AI9" i="40"/>
  <c r="AM9" i="40" s="1"/>
  <c r="CR9" i="40" s="1"/>
  <c r="AJ9" i="40"/>
  <c r="AK9" i="40"/>
  <c r="AL9" i="40"/>
  <c r="AN9" i="40"/>
  <c r="AS9" i="40" s="1"/>
  <c r="CS9" i="40" s="1"/>
  <c r="AO9" i="40"/>
  <c r="AP9" i="40"/>
  <c r="AQ9" i="40"/>
  <c r="AR9" i="40"/>
  <c r="AT9" i="40"/>
  <c r="AU9" i="40"/>
  <c r="AY9" i="40" s="1"/>
  <c r="AV9" i="40"/>
  <c r="AW9" i="40"/>
  <c r="AX9" i="40"/>
  <c r="AZ9" i="40"/>
  <c r="BE9" i="40" s="1"/>
  <c r="CU9" i="40" s="1"/>
  <c r="BA9" i="40"/>
  <c r="BB9" i="40"/>
  <c r="BC9" i="40"/>
  <c r="BD9" i="40"/>
  <c r="BF9" i="40"/>
  <c r="BG9" i="40"/>
  <c r="BK9" i="40" s="1"/>
  <c r="CV9" i="40" s="1"/>
  <c r="BH9" i="40"/>
  <c r="BI9" i="40"/>
  <c r="BJ9" i="40"/>
  <c r="BL9" i="40"/>
  <c r="BQ9" i="40" s="1"/>
  <c r="CW9" i="40" s="1"/>
  <c r="BM9" i="40"/>
  <c r="BN9" i="40"/>
  <c r="BO9" i="40"/>
  <c r="BP9" i="40"/>
  <c r="BR9" i="40"/>
  <c r="BS9" i="40"/>
  <c r="BW9" i="40" s="1"/>
  <c r="BT9" i="40"/>
  <c r="BU9" i="40"/>
  <c r="BV9" i="40"/>
  <c r="BY9" i="40"/>
  <c r="BZ9" i="40"/>
  <c r="CA9" i="40"/>
  <c r="CB9" i="40"/>
  <c r="CC9" i="40"/>
  <c r="CD9" i="40"/>
  <c r="CE9" i="40"/>
  <c r="CF9" i="40"/>
  <c r="CH9" i="40"/>
  <c r="CI9" i="40"/>
  <c r="CJ9" i="40"/>
  <c r="CK9" i="40"/>
  <c r="CL9" i="40"/>
  <c r="CM9" i="40"/>
  <c r="CN9" i="40"/>
  <c r="CO9" i="40"/>
  <c r="CO6" i="40"/>
  <c r="CN6" i="40"/>
  <c r="CM6" i="40"/>
  <c r="CL6" i="40"/>
  <c r="CK6" i="40"/>
  <c r="CJ6" i="40"/>
  <c r="CI6" i="40"/>
  <c r="CH6" i="40"/>
  <c r="CF6" i="40"/>
  <c r="CE6" i="40"/>
  <c r="CD6" i="40"/>
  <c r="CC6" i="40"/>
  <c r="CB6" i="40"/>
  <c r="CA6" i="40"/>
  <c r="BZ6" i="40"/>
  <c r="BY6" i="40"/>
  <c r="BV6" i="40"/>
  <c r="BU6" i="40"/>
  <c r="BT6" i="40"/>
  <c r="BS6" i="40"/>
  <c r="BR6" i="40"/>
  <c r="BW6" i="40" s="1"/>
  <c r="CX6" i="40" s="1"/>
  <c r="BP6" i="40"/>
  <c r="BO6" i="40"/>
  <c r="BN6" i="40"/>
  <c r="BM6" i="40"/>
  <c r="BL6" i="40"/>
  <c r="BQ6" i="40" s="1"/>
  <c r="CW6" i="40" s="1"/>
  <c r="BJ6" i="40"/>
  <c r="BI6" i="40"/>
  <c r="BH6" i="40"/>
  <c r="BG6" i="40"/>
  <c r="BK6" i="40" s="1"/>
  <c r="CV6" i="40" s="1"/>
  <c r="BF6" i="40"/>
  <c r="BD6" i="40"/>
  <c r="BC6" i="40"/>
  <c r="BB6" i="40"/>
  <c r="BA6" i="40"/>
  <c r="AZ6" i="40"/>
  <c r="BE6" i="40" s="1"/>
  <c r="CU6" i="40" s="1"/>
  <c r="AX6" i="40"/>
  <c r="AW6" i="40"/>
  <c r="AV6" i="40"/>
  <c r="AU6" i="40"/>
  <c r="AY6" i="40" s="1"/>
  <c r="CT6" i="40" s="1"/>
  <c r="AT6" i="40"/>
  <c r="AR6" i="40"/>
  <c r="AQ6" i="40"/>
  <c r="AP6" i="40"/>
  <c r="AO6" i="40"/>
  <c r="AN6" i="40"/>
  <c r="AS6" i="40" s="1"/>
  <c r="CS6" i="40" s="1"/>
  <c r="AL6" i="40"/>
  <c r="AK6" i="40"/>
  <c r="AJ6" i="40"/>
  <c r="AI6" i="40"/>
  <c r="AM6" i="40" s="1"/>
  <c r="AH6" i="40"/>
  <c r="AF6" i="40"/>
  <c r="AE6" i="40"/>
  <c r="AD6" i="40"/>
  <c r="AC6" i="40"/>
  <c r="AB6" i="40"/>
  <c r="AG6" i="40" s="1"/>
  <c r="CQ6" i="40" s="1"/>
  <c r="Z6" i="40"/>
  <c r="Y6" i="40"/>
  <c r="X6" i="40"/>
  <c r="W6" i="40"/>
  <c r="V6" i="40"/>
  <c r="U6" i="40"/>
  <c r="T6" i="40"/>
  <c r="CR6" i="40" s="1"/>
  <c r="S6" i="40"/>
  <c r="CX11" i="40"/>
  <c r="CW11" i="40"/>
  <c r="CV11" i="40"/>
  <c r="CU11" i="40"/>
  <c r="CT11" i="40"/>
  <c r="CS11" i="40"/>
  <c r="CR11" i="40"/>
  <c r="CQ11" i="40"/>
  <c r="CX10" i="40"/>
  <c r="CW10" i="40"/>
  <c r="CV10" i="40"/>
  <c r="CU10" i="40"/>
  <c r="CT10" i="40"/>
  <c r="CS10" i="40"/>
  <c r="CR10" i="40"/>
  <c r="CQ10" i="40"/>
  <c r="BV9" i="9"/>
  <c r="BU9" i="9"/>
  <c r="BT9" i="9"/>
  <c r="BS9" i="9"/>
  <c r="BR9" i="9"/>
  <c r="BW9" i="9" s="1"/>
  <c r="CX9" i="9" s="1"/>
  <c r="BP9" i="9"/>
  <c r="BO9" i="9"/>
  <c r="BN9" i="9"/>
  <c r="BM9" i="9"/>
  <c r="BL9" i="9"/>
  <c r="BQ9" i="9" s="1"/>
  <c r="CW9" i="9" s="1"/>
  <c r="BJ9" i="9"/>
  <c r="BI9" i="9"/>
  <c r="BH9" i="9"/>
  <c r="BG9" i="9"/>
  <c r="BF9" i="9"/>
  <c r="BK9" i="9" s="1"/>
  <c r="BD9" i="9"/>
  <c r="BC9" i="9"/>
  <c r="BB9" i="9"/>
  <c r="BA9" i="9"/>
  <c r="AZ9" i="9"/>
  <c r="BE9" i="9" s="1"/>
  <c r="AX9" i="9"/>
  <c r="AW9" i="9"/>
  <c r="AV9" i="9"/>
  <c r="AU9" i="9"/>
  <c r="AT9" i="9"/>
  <c r="AY9" i="9" s="1"/>
  <c r="CT9" i="9" s="1"/>
  <c r="AR9" i="9"/>
  <c r="AQ9" i="9"/>
  <c r="AP9" i="9"/>
  <c r="AO9" i="9"/>
  <c r="AN9" i="9"/>
  <c r="AS9" i="9" s="1"/>
  <c r="CS9" i="9" s="1"/>
  <c r="AL9" i="9"/>
  <c r="AK9" i="9"/>
  <c r="AJ9" i="9"/>
  <c r="AI9" i="9"/>
  <c r="AH9" i="9"/>
  <c r="AM9" i="9" s="1"/>
  <c r="AF9" i="9"/>
  <c r="AE9" i="9"/>
  <c r="AD9" i="9"/>
  <c r="AC9" i="9"/>
  <c r="AB9" i="9"/>
  <c r="AG9" i="9" s="1"/>
  <c r="BV8" i="9"/>
  <c r="BU8" i="9"/>
  <c r="BT8" i="9"/>
  <c r="BS8" i="9"/>
  <c r="BR8" i="9"/>
  <c r="BW8" i="9" s="1"/>
  <c r="CX8" i="9" s="1"/>
  <c r="BP8" i="9"/>
  <c r="BO8" i="9"/>
  <c r="BN8" i="9"/>
  <c r="BM8" i="9"/>
  <c r="BL8" i="9"/>
  <c r="BQ8" i="9" s="1"/>
  <c r="CW8" i="9" s="1"/>
  <c r="BJ8" i="9"/>
  <c r="BI8" i="9"/>
  <c r="BH8" i="9"/>
  <c r="BG8" i="9"/>
  <c r="BF8" i="9"/>
  <c r="BK8" i="9" s="1"/>
  <c r="BD8" i="9"/>
  <c r="BC8" i="9"/>
  <c r="BB8" i="9"/>
  <c r="BA8" i="9"/>
  <c r="AZ8" i="9"/>
  <c r="BE8" i="9" s="1"/>
  <c r="AX8" i="9"/>
  <c r="AW8" i="9"/>
  <c r="AV8" i="9"/>
  <c r="AU8" i="9"/>
  <c r="AT8" i="9"/>
  <c r="AY8" i="9" s="1"/>
  <c r="CT8" i="9" s="1"/>
  <c r="AR8" i="9"/>
  <c r="AQ8" i="9"/>
  <c r="AP8" i="9"/>
  <c r="AO8" i="9"/>
  <c r="AN8" i="9"/>
  <c r="AS8" i="9" s="1"/>
  <c r="CS8" i="9" s="1"/>
  <c r="AL8" i="9"/>
  <c r="AK8" i="9"/>
  <c r="AJ8" i="9"/>
  <c r="AI8" i="9"/>
  <c r="AH8" i="9"/>
  <c r="AM8" i="9" s="1"/>
  <c r="AF8" i="9"/>
  <c r="AE8" i="9"/>
  <c r="AD8" i="9"/>
  <c r="AC8" i="9"/>
  <c r="AB8" i="9"/>
  <c r="AG8" i="9" s="1"/>
  <c r="BV7" i="9"/>
  <c r="BU7" i="9"/>
  <c r="BT7" i="9"/>
  <c r="BS7" i="9"/>
  <c r="BR7" i="9"/>
  <c r="BW7" i="9" s="1"/>
  <c r="CX7" i="9" s="1"/>
  <c r="BP7" i="9"/>
  <c r="BO7" i="9"/>
  <c r="BN7" i="9"/>
  <c r="BM7" i="9"/>
  <c r="BL7" i="9"/>
  <c r="BQ7" i="9" s="1"/>
  <c r="CW7" i="9" s="1"/>
  <c r="BJ7" i="9"/>
  <c r="BI7" i="9"/>
  <c r="BH7" i="9"/>
  <c r="BG7" i="9"/>
  <c r="BF7" i="9"/>
  <c r="BK7" i="9" s="1"/>
  <c r="BD7" i="9"/>
  <c r="BC7" i="9"/>
  <c r="BB7" i="9"/>
  <c r="BB37" i="9" s="1"/>
  <c r="BA7" i="9"/>
  <c r="AZ7" i="9"/>
  <c r="BE7" i="9" s="1"/>
  <c r="AX7" i="9"/>
  <c r="AW7" i="9"/>
  <c r="AV7" i="9"/>
  <c r="AV37" i="9" s="1"/>
  <c r="AU7" i="9"/>
  <c r="AT7" i="9"/>
  <c r="AY7" i="9" s="1"/>
  <c r="CT7" i="9" s="1"/>
  <c r="AR7" i="9"/>
  <c r="AR37" i="9" s="1"/>
  <c r="AQ7" i="9"/>
  <c r="AP7" i="9"/>
  <c r="AP37" i="9" s="1"/>
  <c r="AO7" i="9"/>
  <c r="AN7" i="9"/>
  <c r="AS7" i="9" s="1"/>
  <c r="CS7" i="9" s="1"/>
  <c r="AL7" i="9"/>
  <c r="AL37" i="9" s="1"/>
  <c r="AK7" i="9"/>
  <c r="AJ7" i="9"/>
  <c r="AI7" i="9"/>
  <c r="AH7" i="9"/>
  <c r="AM7" i="9" s="1"/>
  <c r="AF7" i="9"/>
  <c r="AE7" i="9"/>
  <c r="AD7" i="9"/>
  <c r="AC7" i="9"/>
  <c r="AB7" i="9"/>
  <c r="AG7" i="9" s="1"/>
  <c r="BV6" i="9"/>
  <c r="BU6" i="9"/>
  <c r="BT6" i="9"/>
  <c r="BS6" i="9"/>
  <c r="BR6" i="9"/>
  <c r="BW6" i="9" s="1"/>
  <c r="BP6" i="9"/>
  <c r="BO6" i="9"/>
  <c r="BN6" i="9"/>
  <c r="BM6" i="9"/>
  <c r="BL6" i="9"/>
  <c r="BQ6" i="9" s="1"/>
  <c r="BJ6" i="9"/>
  <c r="BI6" i="9"/>
  <c r="BI37" i="9" s="1"/>
  <c r="BH6" i="9"/>
  <c r="BG6" i="9"/>
  <c r="BF6" i="9"/>
  <c r="BK6" i="9" s="1"/>
  <c r="BD6" i="9"/>
  <c r="BD37" i="9" s="1"/>
  <c r="BC6" i="9"/>
  <c r="BB6" i="9"/>
  <c r="BA6" i="9"/>
  <c r="BA37" i="9" s="1"/>
  <c r="AZ6" i="9"/>
  <c r="BE6" i="9" s="1"/>
  <c r="AX6" i="9"/>
  <c r="AW6" i="9"/>
  <c r="AW37" i="9" s="1"/>
  <c r="AV6" i="9"/>
  <c r="AU6" i="9"/>
  <c r="AT6" i="9"/>
  <c r="AY6" i="9" s="1"/>
  <c r="CT6" i="9" s="1"/>
  <c r="AR6" i="9"/>
  <c r="AQ6" i="9"/>
  <c r="AP6" i="9"/>
  <c r="AO6" i="9"/>
  <c r="AN6" i="9"/>
  <c r="AL6" i="9"/>
  <c r="AK6" i="9"/>
  <c r="AK37" i="9" s="1"/>
  <c r="AJ6" i="9"/>
  <c r="AI6" i="9"/>
  <c r="AH6" i="9"/>
  <c r="AM6" i="9" s="1"/>
  <c r="AF6" i="9"/>
  <c r="AE6" i="9"/>
  <c r="AD6" i="9"/>
  <c r="AC6" i="9"/>
  <c r="AB6" i="9"/>
  <c r="AG6" i="9" s="1"/>
  <c r="BO37" i="9"/>
  <c r="BG37" i="9"/>
  <c r="BC37" i="9"/>
  <c r="BF37" i="9"/>
  <c r="AQ37" i="9"/>
  <c r="AJ37" i="9"/>
  <c r="CO9" i="9"/>
  <c r="CN9" i="9"/>
  <c r="CM9" i="9"/>
  <c r="CL9" i="9"/>
  <c r="CK9" i="9"/>
  <c r="CJ9" i="9"/>
  <c r="CI9" i="9"/>
  <c r="CH9" i="9"/>
  <c r="CO8" i="9"/>
  <c r="CN8" i="9"/>
  <c r="CM8" i="9"/>
  <c r="CL8" i="9"/>
  <c r="CK8" i="9"/>
  <c r="CJ8" i="9"/>
  <c r="CI8" i="9"/>
  <c r="CH8" i="9"/>
  <c r="CO7" i="9"/>
  <c r="CN7" i="9"/>
  <c r="CM7" i="9"/>
  <c r="CL7" i="9"/>
  <c r="CK7" i="9"/>
  <c r="CJ7" i="9"/>
  <c r="CI7" i="9"/>
  <c r="CH7" i="9"/>
  <c r="CO6" i="9"/>
  <c r="CN6" i="9"/>
  <c r="CM6" i="9"/>
  <c r="CL6" i="9"/>
  <c r="CK6" i="9"/>
  <c r="CJ6" i="9"/>
  <c r="CI6" i="9"/>
  <c r="CH6" i="9"/>
  <c r="CF9" i="9"/>
  <c r="CE9" i="9"/>
  <c r="CD9" i="9"/>
  <c r="CC9" i="9"/>
  <c r="CB9" i="9"/>
  <c r="CA9" i="9"/>
  <c r="BZ9" i="9"/>
  <c r="BY9" i="9"/>
  <c r="CF8" i="9"/>
  <c r="CE8" i="9"/>
  <c r="CD8" i="9"/>
  <c r="CC8" i="9"/>
  <c r="CB8" i="9"/>
  <c r="CA8" i="9"/>
  <c r="BZ8" i="9"/>
  <c r="BY8" i="9"/>
  <c r="CF7" i="9"/>
  <c r="CE7" i="9"/>
  <c r="CD7" i="9"/>
  <c r="CC7" i="9"/>
  <c r="CB7" i="9"/>
  <c r="CA7" i="9"/>
  <c r="BZ7" i="9"/>
  <c r="BY7" i="9"/>
  <c r="CF6" i="9"/>
  <c r="CE6" i="9"/>
  <c r="CD6" i="9"/>
  <c r="CC6" i="9"/>
  <c r="CB6" i="9"/>
  <c r="CA6" i="9"/>
  <c r="BZ6" i="9"/>
  <c r="BY6" i="9"/>
  <c r="Z9" i="9"/>
  <c r="Y9" i="9"/>
  <c r="X9" i="9"/>
  <c r="W9" i="9"/>
  <c r="V9" i="9"/>
  <c r="U9" i="9"/>
  <c r="T9" i="9"/>
  <c r="S9" i="9"/>
  <c r="Z8" i="9"/>
  <c r="Y8" i="9"/>
  <c r="X8" i="9"/>
  <c r="W8" i="9"/>
  <c r="V8" i="9"/>
  <c r="U8" i="9"/>
  <c r="T8" i="9"/>
  <c r="S8" i="9"/>
  <c r="Z7" i="9"/>
  <c r="Y7" i="9"/>
  <c r="X7" i="9"/>
  <c r="W7" i="9"/>
  <c r="V7" i="9"/>
  <c r="U7" i="9"/>
  <c r="T7" i="9"/>
  <c r="S7" i="9"/>
  <c r="Z6" i="9"/>
  <c r="Y6" i="9"/>
  <c r="X6" i="9"/>
  <c r="X37" i="9" s="1"/>
  <c r="W6" i="9"/>
  <c r="W37" i="9" s="1"/>
  <c r="V6" i="9"/>
  <c r="U6" i="9"/>
  <c r="T6" i="9"/>
  <c r="T37" i="9" s="1"/>
  <c r="S6" i="9"/>
  <c r="S37" i="9" s="1"/>
  <c r="CO37" i="9"/>
  <c r="CN37" i="9"/>
  <c r="CM37" i="9"/>
  <c r="CL37" i="9"/>
  <c r="CK37" i="9"/>
  <c r="CJ37" i="9"/>
  <c r="CI37" i="9"/>
  <c r="CF37" i="9"/>
  <c r="CE37" i="9"/>
  <c r="CD37" i="9"/>
  <c r="CC37" i="9"/>
  <c r="CB37" i="9"/>
  <c r="CA37" i="9"/>
  <c r="BZ37" i="9"/>
  <c r="BV37" i="9"/>
  <c r="BU37" i="9"/>
  <c r="BS37" i="9"/>
  <c r="BN37" i="9"/>
  <c r="BM37" i="9"/>
  <c r="BJ37" i="9"/>
  <c r="AX37" i="9"/>
  <c r="AU37" i="9"/>
  <c r="AO37" i="9"/>
  <c r="Z37" i="9"/>
  <c r="Y37" i="9"/>
  <c r="V37" i="9"/>
  <c r="U37" i="9"/>
  <c r="Q37" i="9"/>
  <c r="P37" i="9"/>
  <c r="O37" i="9"/>
  <c r="N37" i="9"/>
  <c r="M37" i="9"/>
  <c r="CO15" i="8"/>
  <c r="CN15" i="8"/>
  <c r="CM15" i="8"/>
  <c r="CL15" i="8"/>
  <c r="CK15" i="8"/>
  <c r="CJ15" i="8"/>
  <c r="CI15" i="8"/>
  <c r="CH15" i="8"/>
  <c r="CO14" i="8"/>
  <c r="CN14" i="8"/>
  <c r="CM14" i="8"/>
  <c r="CL14" i="8"/>
  <c r="CK14" i="8"/>
  <c r="CJ14" i="8"/>
  <c r="CI14" i="8"/>
  <c r="CH14" i="8"/>
  <c r="CO13" i="8"/>
  <c r="CN13" i="8"/>
  <c r="CM13" i="8"/>
  <c r="CL13" i="8"/>
  <c r="CK13" i="8"/>
  <c r="CJ13" i="8"/>
  <c r="CI13" i="8"/>
  <c r="CH13" i="8"/>
  <c r="CO12" i="8"/>
  <c r="CN12" i="8"/>
  <c r="CM12" i="8"/>
  <c r="CL12" i="8"/>
  <c r="CK12" i="8"/>
  <c r="CJ12" i="8"/>
  <c r="CI12" i="8"/>
  <c r="CH12" i="8"/>
  <c r="CO11" i="8"/>
  <c r="CN11" i="8"/>
  <c r="CM11" i="8"/>
  <c r="CL11" i="8"/>
  <c r="CK11" i="8"/>
  <c r="CJ11" i="8"/>
  <c r="CI11" i="8"/>
  <c r="CH11" i="8"/>
  <c r="CO9" i="8"/>
  <c r="CN9" i="8"/>
  <c r="CM9" i="8"/>
  <c r="CL9" i="8"/>
  <c r="CK9" i="8"/>
  <c r="CJ9" i="8"/>
  <c r="CI9" i="8"/>
  <c r="CH9" i="8"/>
  <c r="CO8" i="8"/>
  <c r="CN8" i="8"/>
  <c r="CM8" i="8"/>
  <c r="CL8" i="8"/>
  <c r="CK8" i="8"/>
  <c r="CJ8" i="8"/>
  <c r="CI8" i="8"/>
  <c r="CH8" i="8"/>
  <c r="CO7" i="8"/>
  <c r="CN7" i="8"/>
  <c r="CM7" i="8"/>
  <c r="CL7" i="8"/>
  <c r="CK7" i="8"/>
  <c r="CJ7" i="8"/>
  <c r="CI7" i="8"/>
  <c r="CH7" i="8"/>
  <c r="CO6" i="8"/>
  <c r="CO37" i="8" s="1"/>
  <c r="CN6" i="8"/>
  <c r="CM6" i="8"/>
  <c r="CL6" i="8"/>
  <c r="CL37" i="8" s="1"/>
  <c r="CK6" i="8"/>
  <c r="CK37" i="8" s="1"/>
  <c r="CJ6" i="8"/>
  <c r="CI6" i="8"/>
  <c r="CH6" i="8"/>
  <c r="CF15" i="8"/>
  <c r="CE15" i="8"/>
  <c r="CD15" i="8"/>
  <c r="CC15" i="8"/>
  <c r="CB15" i="8"/>
  <c r="CA15" i="8"/>
  <c r="BZ15" i="8"/>
  <c r="BY15" i="8"/>
  <c r="CF14" i="8"/>
  <c r="CE14" i="8"/>
  <c r="CD14" i="8"/>
  <c r="CC14" i="8"/>
  <c r="CB14" i="8"/>
  <c r="CA14" i="8"/>
  <c r="BZ14" i="8"/>
  <c r="BY14" i="8"/>
  <c r="CF13" i="8"/>
  <c r="CE13" i="8"/>
  <c r="CD13" i="8"/>
  <c r="CC13" i="8"/>
  <c r="CB13" i="8"/>
  <c r="CA13" i="8"/>
  <c r="BZ13" i="8"/>
  <c r="BY13" i="8"/>
  <c r="CF12" i="8"/>
  <c r="CE12" i="8"/>
  <c r="CD12" i="8"/>
  <c r="CC12" i="8"/>
  <c r="CB12" i="8"/>
  <c r="CA12" i="8"/>
  <c r="BZ12" i="8"/>
  <c r="BY12" i="8"/>
  <c r="CF11" i="8"/>
  <c r="CE11" i="8"/>
  <c r="CD11" i="8"/>
  <c r="CC11" i="8"/>
  <c r="CB11" i="8"/>
  <c r="CA11" i="8"/>
  <c r="BZ11" i="8"/>
  <c r="BY11" i="8"/>
  <c r="CF9" i="8"/>
  <c r="CE9" i="8"/>
  <c r="CD9" i="8"/>
  <c r="CC9" i="8"/>
  <c r="CB9" i="8"/>
  <c r="CA9" i="8"/>
  <c r="BZ9" i="8"/>
  <c r="BY9" i="8"/>
  <c r="CF8" i="8"/>
  <c r="CE8" i="8"/>
  <c r="CD8" i="8"/>
  <c r="CC8" i="8"/>
  <c r="CB8" i="8"/>
  <c r="CA8" i="8"/>
  <c r="BZ8" i="8"/>
  <c r="BY8" i="8"/>
  <c r="CF7" i="8"/>
  <c r="CE7" i="8"/>
  <c r="CD7" i="8"/>
  <c r="CC7" i="8"/>
  <c r="CB7" i="8"/>
  <c r="CA7" i="8"/>
  <c r="BZ7" i="8"/>
  <c r="BY7" i="8"/>
  <c r="CQ7" i="8" s="1"/>
  <c r="CF6" i="8"/>
  <c r="CE6" i="8"/>
  <c r="CE37" i="8" s="1"/>
  <c r="CD6" i="8"/>
  <c r="CD37" i="8" s="1"/>
  <c r="CC6" i="8"/>
  <c r="CC37" i="8" s="1"/>
  <c r="CB6" i="8"/>
  <c r="CA6" i="8"/>
  <c r="CA37" i="8" s="1"/>
  <c r="BZ6" i="8"/>
  <c r="BZ37" i="8" s="1"/>
  <c r="BY6" i="8"/>
  <c r="BY37" i="8" s="1"/>
  <c r="BV15" i="8"/>
  <c r="BU15" i="8"/>
  <c r="BT15" i="8"/>
  <c r="BS15" i="8"/>
  <c r="BR15" i="8"/>
  <c r="BV14" i="8"/>
  <c r="BU14" i="8"/>
  <c r="BT14" i="8"/>
  <c r="BW14" i="8" s="1"/>
  <c r="CX14" i="8" s="1"/>
  <c r="BS14" i="8"/>
  <c r="BR14" i="8"/>
  <c r="BV13" i="8"/>
  <c r="BU13" i="8"/>
  <c r="BW13" i="8" s="1"/>
  <c r="CX13" i="8" s="1"/>
  <c r="BT13" i="8"/>
  <c r="BS13" i="8"/>
  <c r="BR13" i="8"/>
  <c r="BV12" i="8"/>
  <c r="BU12" i="8"/>
  <c r="BT12" i="8"/>
  <c r="BS12" i="8"/>
  <c r="BR12" i="8"/>
  <c r="BW12" i="8" s="1"/>
  <c r="CX12" i="8" s="1"/>
  <c r="BV11" i="8"/>
  <c r="BU11" i="8"/>
  <c r="BT11" i="8"/>
  <c r="BS11" i="8"/>
  <c r="BR11" i="8"/>
  <c r="BV9" i="8"/>
  <c r="BU9" i="8"/>
  <c r="BT9" i="8"/>
  <c r="BW9" i="8" s="1"/>
  <c r="BS9" i="8"/>
  <c r="BR9" i="8"/>
  <c r="BV8" i="8"/>
  <c r="BU8" i="8"/>
  <c r="BU37" i="8" s="1"/>
  <c r="BT8" i="8"/>
  <c r="BS8" i="8"/>
  <c r="BR8" i="8"/>
  <c r="BV7" i="8"/>
  <c r="BU7" i="8"/>
  <c r="BT7" i="8"/>
  <c r="BS7" i="8"/>
  <c r="BR7" i="8"/>
  <c r="BW7" i="8" s="1"/>
  <c r="CX7" i="8" s="1"/>
  <c r="BV6" i="8"/>
  <c r="BU6" i="8"/>
  <c r="BT6" i="8"/>
  <c r="BS6" i="8"/>
  <c r="BS37" i="8" s="1"/>
  <c r="BR6" i="8"/>
  <c r="BP15" i="8"/>
  <c r="BO15" i="8"/>
  <c r="BN15" i="8"/>
  <c r="BM15" i="8"/>
  <c r="BL15" i="8"/>
  <c r="BP14" i="8"/>
  <c r="BO14" i="8"/>
  <c r="BN14" i="8"/>
  <c r="BQ14" i="8" s="1"/>
  <c r="BM14" i="8"/>
  <c r="BL14" i="8"/>
  <c r="BP13" i="8"/>
  <c r="BO13" i="8"/>
  <c r="BN13" i="8"/>
  <c r="BM13" i="8"/>
  <c r="BL13" i="8"/>
  <c r="BQ13" i="8" s="1"/>
  <c r="CW13" i="8" s="1"/>
  <c r="BP12" i="8"/>
  <c r="BO12" i="8"/>
  <c r="BN12" i="8"/>
  <c r="BM12" i="8"/>
  <c r="BL12" i="8"/>
  <c r="BQ12" i="8" s="1"/>
  <c r="BP11" i="8"/>
  <c r="BO11" i="8"/>
  <c r="BN11" i="8"/>
  <c r="BM11" i="8"/>
  <c r="BL11" i="8"/>
  <c r="BP9" i="8"/>
  <c r="BO9" i="8"/>
  <c r="BN9" i="8"/>
  <c r="BM9" i="8"/>
  <c r="BL9" i="8"/>
  <c r="BQ9" i="8" s="1"/>
  <c r="CW9" i="8" s="1"/>
  <c r="BP8" i="8"/>
  <c r="BO8" i="8"/>
  <c r="BN8" i="8"/>
  <c r="BM8" i="8"/>
  <c r="BL8" i="8"/>
  <c r="BQ8" i="8" s="1"/>
  <c r="CW8" i="8" s="1"/>
  <c r="BP7" i="8"/>
  <c r="BO7" i="8"/>
  <c r="BN7" i="8"/>
  <c r="BM7" i="8"/>
  <c r="BL7" i="8"/>
  <c r="BQ7" i="8" s="1"/>
  <c r="BP6" i="8"/>
  <c r="BO6" i="8"/>
  <c r="BO37" i="8" s="1"/>
  <c r="BN6" i="8"/>
  <c r="BN37" i="8" s="1"/>
  <c r="BM6" i="8"/>
  <c r="BM37" i="8" s="1"/>
  <c r="BL6" i="8"/>
  <c r="BJ15" i="8"/>
  <c r="BI15" i="8"/>
  <c r="BH15" i="8"/>
  <c r="BK15" i="8" s="1"/>
  <c r="BG15" i="8"/>
  <c r="BF15" i="8"/>
  <c r="BJ14" i="8"/>
  <c r="BI14" i="8"/>
  <c r="BH14" i="8"/>
  <c r="BK14" i="8" s="1"/>
  <c r="BG14" i="8"/>
  <c r="BF14" i="8"/>
  <c r="BJ13" i="8"/>
  <c r="BI13" i="8"/>
  <c r="BH13" i="8"/>
  <c r="BG13" i="8"/>
  <c r="BF13" i="8"/>
  <c r="BK13" i="8" s="1"/>
  <c r="BJ12" i="8"/>
  <c r="BI12" i="8"/>
  <c r="BH12" i="8"/>
  <c r="BG12" i="8"/>
  <c r="BF12" i="8"/>
  <c r="BK12" i="8" s="1"/>
  <c r="BJ11" i="8"/>
  <c r="BI11" i="8"/>
  <c r="BH11" i="8"/>
  <c r="BG11" i="8"/>
  <c r="BF11" i="8"/>
  <c r="BJ9" i="8"/>
  <c r="BI9" i="8"/>
  <c r="BH9" i="8"/>
  <c r="BK9" i="8" s="1"/>
  <c r="BG9" i="8"/>
  <c r="BF9" i="8"/>
  <c r="BJ8" i="8"/>
  <c r="BI8" i="8"/>
  <c r="BH8" i="8"/>
  <c r="BG8" i="8"/>
  <c r="BF8" i="8"/>
  <c r="BK8" i="8" s="1"/>
  <c r="BJ7" i="8"/>
  <c r="BJ37" i="8" s="1"/>
  <c r="BI7" i="8"/>
  <c r="BH7" i="8"/>
  <c r="BG7" i="8"/>
  <c r="BF7" i="8"/>
  <c r="BK7" i="8" s="1"/>
  <c r="BJ6" i="8"/>
  <c r="BI6" i="8"/>
  <c r="BH6" i="8"/>
  <c r="BH37" i="8" s="1"/>
  <c r="BG6" i="8"/>
  <c r="BG37" i="8" s="1"/>
  <c r="BF6" i="8"/>
  <c r="BD15" i="8"/>
  <c r="BC15" i="8"/>
  <c r="BB15" i="8"/>
  <c r="BA15" i="8"/>
  <c r="AZ15" i="8"/>
  <c r="BD14" i="8"/>
  <c r="BC14" i="8"/>
  <c r="BB14" i="8"/>
  <c r="BE14" i="8" s="1"/>
  <c r="BA14" i="8"/>
  <c r="AZ14" i="8"/>
  <c r="BD13" i="8"/>
  <c r="BC13" i="8"/>
  <c r="BB13" i="8"/>
  <c r="BA13" i="8"/>
  <c r="AZ13" i="8"/>
  <c r="BD12" i="8"/>
  <c r="BC12" i="8"/>
  <c r="BB12" i="8"/>
  <c r="BA12" i="8"/>
  <c r="AZ12" i="8"/>
  <c r="BE12" i="8" s="1"/>
  <c r="BD11" i="8"/>
  <c r="BC11" i="8"/>
  <c r="BB11" i="8"/>
  <c r="BA11" i="8"/>
  <c r="AZ11" i="8"/>
  <c r="BD9" i="8"/>
  <c r="BC9" i="8"/>
  <c r="BB9" i="8"/>
  <c r="BA9" i="8"/>
  <c r="AZ9" i="8"/>
  <c r="BE9" i="8" s="1"/>
  <c r="BD8" i="8"/>
  <c r="BC8" i="8"/>
  <c r="BE8" i="8" s="1"/>
  <c r="BB8" i="8"/>
  <c r="BA8" i="8"/>
  <c r="AZ8" i="8"/>
  <c r="BD7" i="8"/>
  <c r="BD37" i="8" s="1"/>
  <c r="BC7" i="8"/>
  <c r="BB7" i="8"/>
  <c r="BA7" i="8"/>
  <c r="AZ7" i="8"/>
  <c r="BE7" i="8" s="1"/>
  <c r="BD6" i="8"/>
  <c r="BC6" i="8"/>
  <c r="BC37" i="8" s="1"/>
  <c r="BB6" i="8"/>
  <c r="BA6" i="8"/>
  <c r="BA37" i="8" s="1"/>
  <c r="AZ6" i="8"/>
  <c r="AX15" i="8"/>
  <c r="AW15" i="8"/>
  <c r="AV15" i="8"/>
  <c r="AU15" i="8"/>
  <c r="AT15" i="8"/>
  <c r="AX14" i="8"/>
  <c r="AW14" i="8"/>
  <c r="AV14" i="8"/>
  <c r="AY14" i="8" s="1"/>
  <c r="CT14" i="8" s="1"/>
  <c r="AU14" i="8"/>
  <c r="AT14" i="8"/>
  <c r="AX13" i="8"/>
  <c r="AW13" i="8"/>
  <c r="AY13" i="8" s="1"/>
  <c r="CT13" i="8" s="1"/>
  <c r="AV13" i="8"/>
  <c r="AU13" i="8"/>
  <c r="AT13" i="8"/>
  <c r="AX12" i="8"/>
  <c r="AW12" i="8"/>
  <c r="AV12" i="8"/>
  <c r="AU12" i="8"/>
  <c r="AT12" i="8"/>
  <c r="AY12" i="8" s="1"/>
  <c r="CT12" i="8" s="1"/>
  <c r="AX11" i="8"/>
  <c r="AW11" i="8"/>
  <c r="AV11" i="8"/>
  <c r="AU11" i="8"/>
  <c r="AT11" i="8"/>
  <c r="AX9" i="8"/>
  <c r="AW9" i="8"/>
  <c r="AV9" i="8"/>
  <c r="AY9" i="8" s="1"/>
  <c r="AU9" i="8"/>
  <c r="AT9" i="8"/>
  <c r="AX8" i="8"/>
  <c r="AW8" i="8"/>
  <c r="AY8" i="8" s="1"/>
  <c r="CT8" i="8" s="1"/>
  <c r="AV8" i="8"/>
  <c r="AU8" i="8"/>
  <c r="AT8" i="8"/>
  <c r="AX7" i="8"/>
  <c r="AX37" i="8" s="1"/>
  <c r="AW7" i="8"/>
  <c r="AV7" i="8"/>
  <c r="AU7" i="8"/>
  <c r="AT7" i="8"/>
  <c r="AY7" i="8" s="1"/>
  <c r="CT7" i="8" s="1"/>
  <c r="AX6" i="8"/>
  <c r="AW6" i="8"/>
  <c r="AV6" i="8"/>
  <c r="AU6" i="8"/>
  <c r="AY6" i="8" s="1"/>
  <c r="AY37" i="8" s="1"/>
  <c r="AT6" i="8"/>
  <c r="AR15" i="8"/>
  <c r="AQ15" i="8"/>
  <c r="AP15" i="8"/>
  <c r="AO15" i="8"/>
  <c r="AN15" i="8"/>
  <c r="AR14" i="8"/>
  <c r="AQ14" i="8"/>
  <c r="AP14" i="8"/>
  <c r="AS14" i="8" s="1"/>
  <c r="AO14" i="8"/>
  <c r="AN14" i="8"/>
  <c r="AR13" i="8"/>
  <c r="AQ13" i="8"/>
  <c r="AS13" i="8" s="1"/>
  <c r="AP13" i="8"/>
  <c r="AO13" i="8"/>
  <c r="AN13" i="8"/>
  <c r="AR12" i="8"/>
  <c r="AQ12" i="8"/>
  <c r="AP12" i="8"/>
  <c r="AO12" i="8"/>
  <c r="AN12" i="8"/>
  <c r="AS12" i="8" s="1"/>
  <c r="AR11" i="8"/>
  <c r="AQ11" i="8"/>
  <c r="AP11" i="8"/>
  <c r="AO11" i="8"/>
  <c r="AN11" i="8"/>
  <c r="AR9" i="8"/>
  <c r="AQ9" i="8"/>
  <c r="AP9" i="8"/>
  <c r="AS9" i="8" s="1"/>
  <c r="AO9" i="8"/>
  <c r="AN9" i="8"/>
  <c r="AR8" i="8"/>
  <c r="AQ8" i="8"/>
  <c r="AS8" i="8" s="1"/>
  <c r="AP8" i="8"/>
  <c r="AO8" i="8"/>
  <c r="AN8" i="8"/>
  <c r="AR7" i="8"/>
  <c r="AR37" i="8" s="1"/>
  <c r="AQ7" i="8"/>
  <c r="AP7" i="8"/>
  <c r="AO7" i="8"/>
  <c r="AN7" i="8"/>
  <c r="AS7" i="8" s="1"/>
  <c r="AR6" i="8"/>
  <c r="AQ6" i="8"/>
  <c r="AP6" i="8"/>
  <c r="AO6" i="8"/>
  <c r="AO37" i="8" s="1"/>
  <c r="AN6" i="8"/>
  <c r="AL11" i="8"/>
  <c r="AK11" i="8"/>
  <c r="AJ11" i="8"/>
  <c r="AI11" i="8"/>
  <c r="AH11" i="8"/>
  <c r="AL15" i="8"/>
  <c r="AK15" i="8"/>
  <c r="AJ15" i="8"/>
  <c r="AI15" i="8"/>
  <c r="AH15" i="8"/>
  <c r="AL14" i="8"/>
  <c r="AK14" i="8"/>
  <c r="AM14" i="8" s="1"/>
  <c r="AJ14" i="8"/>
  <c r="AI14" i="8"/>
  <c r="AH14" i="8"/>
  <c r="AL13" i="8"/>
  <c r="AK13" i="8"/>
  <c r="AJ13" i="8"/>
  <c r="AI13" i="8"/>
  <c r="AH13" i="8"/>
  <c r="AM13" i="8" s="1"/>
  <c r="AL12" i="8"/>
  <c r="AK12" i="8"/>
  <c r="AJ12" i="8"/>
  <c r="AI12" i="8"/>
  <c r="AM12" i="8" s="1"/>
  <c r="AH12" i="8"/>
  <c r="AL9" i="8"/>
  <c r="AK9" i="8"/>
  <c r="AJ9" i="8"/>
  <c r="AM9" i="8" s="1"/>
  <c r="AI9" i="8"/>
  <c r="AH9" i="8"/>
  <c r="AL8" i="8"/>
  <c r="AK8" i="8"/>
  <c r="AM8" i="8" s="1"/>
  <c r="AJ8" i="8"/>
  <c r="AI8" i="8"/>
  <c r="AH8" i="8"/>
  <c r="AL7" i="8"/>
  <c r="AK7" i="8"/>
  <c r="AJ7" i="8"/>
  <c r="AI7" i="8"/>
  <c r="AH7" i="8"/>
  <c r="AM7" i="8" s="1"/>
  <c r="AL6" i="8"/>
  <c r="AK6" i="8"/>
  <c r="AK37" i="8" s="1"/>
  <c r="AJ6" i="8"/>
  <c r="AI6" i="8"/>
  <c r="AI37" i="8" s="1"/>
  <c r="AH6" i="8"/>
  <c r="BW15" i="8"/>
  <c r="CX15" i="8" s="1"/>
  <c r="BW11" i="8"/>
  <c r="CX11" i="8" s="1"/>
  <c r="BQ15" i="8"/>
  <c r="CW15" i="8" s="1"/>
  <c r="BQ11" i="8"/>
  <c r="CW11" i="8" s="1"/>
  <c r="BK11" i="8"/>
  <c r="CV11" i="8" s="1"/>
  <c r="BE15" i="8"/>
  <c r="BE13" i="8"/>
  <c r="BE11" i="8"/>
  <c r="AY15" i="8"/>
  <c r="CT15" i="8" s="1"/>
  <c r="AY11" i="8"/>
  <c r="CT11" i="8" s="1"/>
  <c r="AS15" i="8"/>
  <c r="AS11" i="8"/>
  <c r="CS11" i="8" s="1"/>
  <c r="AM15" i="8"/>
  <c r="CR15" i="8" s="1"/>
  <c r="AM11" i="8"/>
  <c r="AG15" i="8"/>
  <c r="AG14" i="8"/>
  <c r="AG13" i="8"/>
  <c r="AG12" i="8"/>
  <c r="AG11" i="8"/>
  <c r="AG9" i="8"/>
  <c r="AG8" i="8"/>
  <c r="AG7" i="8"/>
  <c r="AG6" i="8"/>
  <c r="AF15" i="8"/>
  <c r="AE15" i="8"/>
  <c r="AD15" i="8"/>
  <c r="AC15" i="8"/>
  <c r="AB15" i="8"/>
  <c r="AF14" i="8"/>
  <c r="AE14" i="8"/>
  <c r="AD14" i="8"/>
  <c r="AC14" i="8"/>
  <c r="AB14" i="8"/>
  <c r="AF13" i="8"/>
  <c r="AE13" i="8"/>
  <c r="AD13" i="8"/>
  <c r="AC13" i="8"/>
  <c r="AB13" i="8"/>
  <c r="AF12" i="8"/>
  <c r="AE12" i="8"/>
  <c r="AD12" i="8"/>
  <c r="AC12" i="8"/>
  <c r="AB12" i="8"/>
  <c r="AF11" i="8"/>
  <c r="AE11" i="8"/>
  <c r="AD11" i="8"/>
  <c r="AC11" i="8"/>
  <c r="AB11" i="8"/>
  <c r="AF9" i="8"/>
  <c r="AE9" i="8"/>
  <c r="AD9" i="8"/>
  <c r="AC9" i="8"/>
  <c r="AB9" i="8"/>
  <c r="AF8" i="8"/>
  <c r="AE8" i="8"/>
  <c r="AD8" i="8"/>
  <c r="AC8" i="8"/>
  <c r="AB8" i="8"/>
  <c r="AF7" i="8"/>
  <c r="AE7" i="8"/>
  <c r="AD7" i="8"/>
  <c r="AC7" i="8"/>
  <c r="AB7" i="8"/>
  <c r="AF6" i="8"/>
  <c r="AE6" i="8"/>
  <c r="AD6" i="8"/>
  <c r="AC6" i="8"/>
  <c r="AB6" i="8"/>
  <c r="S9" i="8"/>
  <c r="T9" i="8"/>
  <c r="U9" i="8"/>
  <c r="V9" i="8"/>
  <c r="W9" i="8"/>
  <c r="X9" i="8"/>
  <c r="Y9" i="8"/>
  <c r="Z9" i="8"/>
  <c r="Z15" i="8"/>
  <c r="Y15" i="8"/>
  <c r="X15" i="8"/>
  <c r="W15" i="8"/>
  <c r="V15" i="8"/>
  <c r="U15" i="8"/>
  <c r="T15" i="8"/>
  <c r="S15" i="8"/>
  <c r="Z14" i="8"/>
  <c r="Y14" i="8"/>
  <c r="X14" i="8"/>
  <c r="W14" i="8"/>
  <c r="V14" i="8"/>
  <c r="U14" i="8"/>
  <c r="T14" i="8"/>
  <c r="S14" i="8"/>
  <c r="Z13" i="8"/>
  <c r="Y13" i="8"/>
  <c r="X13" i="8"/>
  <c r="W13" i="8"/>
  <c r="V13" i="8"/>
  <c r="U13" i="8"/>
  <c r="T13" i="8"/>
  <c r="S13" i="8"/>
  <c r="Z12" i="8"/>
  <c r="Y12" i="8"/>
  <c r="X12" i="8"/>
  <c r="W12" i="8"/>
  <c r="V12" i="8"/>
  <c r="U12" i="8"/>
  <c r="T12" i="8"/>
  <c r="S12" i="8"/>
  <c r="Z11" i="8"/>
  <c r="Y11" i="8"/>
  <c r="X11" i="8"/>
  <c r="W11" i="8"/>
  <c r="V11" i="8"/>
  <c r="U11" i="8"/>
  <c r="T11" i="8"/>
  <c r="S11" i="8"/>
  <c r="Z8" i="8"/>
  <c r="Y8" i="8"/>
  <c r="X8" i="8"/>
  <c r="W8" i="8"/>
  <c r="V8" i="8"/>
  <c r="U8" i="8"/>
  <c r="T8" i="8"/>
  <c r="S8" i="8"/>
  <c r="Z7" i="8"/>
  <c r="Y7" i="8"/>
  <c r="X7" i="8"/>
  <c r="W7" i="8"/>
  <c r="V7" i="8"/>
  <c r="U7" i="8"/>
  <c r="T7" i="8"/>
  <c r="S7" i="8"/>
  <c r="Z6" i="8"/>
  <c r="Y6" i="8"/>
  <c r="X6" i="8"/>
  <c r="W6" i="8"/>
  <c r="W37" i="8" s="1"/>
  <c r="V6" i="8"/>
  <c r="U6" i="8"/>
  <c r="T6" i="8"/>
  <c r="S6" i="8"/>
  <c r="CQ9" i="8"/>
  <c r="CS15" i="8"/>
  <c r="CN37" i="8"/>
  <c r="CM37" i="8"/>
  <c r="CJ37" i="8"/>
  <c r="CI37" i="8"/>
  <c r="CF37" i="8"/>
  <c r="CB37" i="8"/>
  <c r="BV37" i="8"/>
  <c r="BP37" i="8"/>
  <c r="BI37" i="8"/>
  <c r="BB37" i="8"/>
  <c r="AP37" i="8"/>
  <c r="AL37" i="8"/>
  <c r="Y37" i="8"/>
  <c r="X37" i="8"/>
  <c r="V37" i="8"/>
  <c r="U37" i="8"/>
  <c r="T37" i="8"/>
  <c r="Q37" i="8"/>
  <c r="P37" i="8"/>
  <c r="O37" i="8"/>
  <c r="N37" i="8"/>
  <c r="M37" i="8"/>
  <c r="BN37" i="55" l="1"/>
  <c r="U37" i="55"/>
  <c r="AD37" i="55"/>
  <c r="AV37" i="55"/>
  <c r="BC18" i="55"/>
  <c r="BL18" i="55" s="1"/>
  <c r="BD18" i="55"/>
  <c r="BM18" i="55" s="1"/>
  <c r="BC17" i="55"/>
  <c r="BL17" i="55" s="1"/>
  <c r="S37" i="55"/>
  <c r="BC13" i="55"/>
  <c r="BL13" i="55" s="1"/>
  <c r="AK37" i="55"/>
  <c r="T37" i="55"/>
  <c r="AC37" i="55"/>
  <c r="AL37" i="55"/>
  <c r="BC11" i="55"/>
  <c r="BL11" i="55" s="1"/>
  <c r="BL37" i="55" s="1"/>
  <c r="BD13" i="55"/>
  <c r="AM37" i="55"/>
  <c r="AT37" i="55"/>
  <c r="AX37" i="55"/>
  <c r="AP37" i="55"/>
  <c r="AB37" i="55"/>
  <c r="BI37" i="55"/>
  <c r="BF10" i="55"/>
  <c r="BF37" i="55" s="1"/>
  <c r="V37" i="55"/>
  <c r="BE37" i="55"/>
  <c r="BJ10" i="55"/>
  <c r="BJ37" i="55" s="1"/>
  <c r="BH37" i="55"/>
  <c r="BG37" i="55"/>
  <c r="W37" i="55"/>
  <c r="BQ18" i="47"/>
  <c r="BQ8" i="47"/>
  <c r="BK8" i="47"/>
  <c r="BE8" i="47"/>
  <c r="AY8" i="47"/>
  <c r="AM8" i="47"/>
  <c r="CX9" i="40"/>
  <c r="CT9" i="40"/>
  <c r="CX8" i="40"/>
  <c r="CT8" i="40"/>
  <c r="AT37" i="9"/>
  <c r="AM37" i="9"/>
  <c r="BK37" i="9"/>
  <c r="BT37" i="9"/>
  <c r="BE37" i="9"/>
  <c r="CU7" i="9"/>
  <c r="CU9" i="9"/>
  <c r="AN37" i="9"/>
  <c r="BQ37" i="9"/>
  <c r="BP37" i="9"/>
  <c r="CU8" i="9"/>
  <c r="CR7" i="9"/>
  <c r="CV7" i="9"/>
  <c r="CR8" i="9"/>
  <c r="CV8" i="9"/>
  <c r="CR9" i="9"/>
  <c r="CV9" i="9"/>
  <c r="AH37" i="9"/>
  <c r="CT37" i="9"/>
  <c r="BH37" i="9"/>
  <c r="AZ37" i="9"/>
  <c r="AS6" i="9"/>
  <c r="BR37" i="9"/>
  <c r="BW37" i="9"/>
  <c r="BL37" i="9"/>
  <c r="AI37" i="9"/>
  <c r="CQ7" i="9"/>
  <c r="CQ8" i="9"/>
  <c r="CQ9" i="9"/>
  <c r="AG37" i="9"/>
  <c r="CW6" i="9"/>
  <c r="CW37" i="9" s="1"/>
  <c r="AY37" i="9"/>
  <c r="CH37" i="9"/>
  <c r="BY37" i="9"/>
  <c r="CU6" i="9"/>
  <c r="CU37" i="9" s="1"/>
  <c r="CR6" i="9"/>
  <c r="CV6" i="9"/>
  <c r="CV37" i="9" s="1"/>
  <c r="CQ8" i="8"/>
  <c r="CH37" i="8"/>
  <c r="CQ11" i="8"/>
  <c r="CR8" i="8"/>
  <c r="CR12" i="8"/>
  <c r="CV9" i="8"/>
  <c r="CQ14" i="8"/>
  <c r="CQ15" i="8"/>
  <c r="CU7" i="8"/>
  <c r="CU8" i="8"/>
  <c r="CR7" i="8"/>
  <c r="CR9" i="8"/>
  <c r="CR13" i="8"/>
  <c r="CR14" i="8"/>
  <c r="CV7" i="8"/>
  <c r="CV12" i="8"/>
  <c r="CV14" i="8"/>
  <c r="CR11" i="8"/>
  <c r="CS7" i="8"/>
  <c r="CS8" i="8"/>
  <c r="CS9" i="8"/>
  <c r="CS12" i="8"/>
  <c r="CS13" i="8"/>
  <c r="CS14" i="8"/>
  <c r="CU9" i="8"/>
  <c r="CV8" i="8"/>
  <c r="CV13" i="8"/>
  <c r="CV15" i="8"/>
  <c r="CW7" i="8"/>
  <c r="CW12" i="8"/>
  <c r="CW14" i="8"/>
  <c r="BT37" i="8"/>
  <c r="BW8" i="8"/>
  <c r="CX8" i="8" s="1"/>
  <c r="CX9" i="8"/>
  <c r="BR37" i="8"/>
  <c r="BW6" i="8"/>
  <c r="BL37" i="8"/>
  <c r="BQ6" i="8"/>
  <c r="CW6" i="8" s="1"/>
  <c r="BF37" i="8"/>
  <c r="BK6" i="8"/>
  <c r="CU12" i="8"/>
  <c r="CU13" i="8"/>
  <c r="CU14" i="8"/>
  <c r="AZ37" i="8"/>
  <c r="BE6" i="8"/>
  <c r="BE37" i="8" s="1"/>
  <c r="AV37" i="8"/>
  <c r="AW37" i="8"/>
  <c r="CT9" i="8"/>
  <c r="AU37" i="8"/>
  <c r="AT37" i="8"/>
  <c r="CT6" i="8"/>
  <c r="CT37" i="8" s="1"/>
  <c r="AQ37" i="8"/>
  <c r="AN37" i="8"/>
  <c r="AS6" i="8"/>
  <c r="CS6" i="8" s="1"/>
  <c r="AJ37" i="8"/>
  <c r="AH37" i="8"/>
  <c r="AM6" i="8"/>
  <c r="AS37" i="8"/>
  <c r="BQ37" i="8"/>
  <c r="CU11" i="8"/>
  <c r="CU15" i="8"/>
  <c r="CQ12" i="8"/>
  <c r="CQ13" i="8"/>
  <c r="AG37" i="8"/>
  <c r="CQ6" i="8"/>
  <c r="Z37" i="8"/>
  <c r="S37" i="8"/>
  <c r="J8" i="56"/>
  <c r="I8" i="56"/>
  <c r="H8" i="56"/>
  <c r="G8" i="56"/>
  <c r="F8" i="56"/>
  <c r="E8" i="56"/>
  <c r="J7" i="56"/>
  <c r="I7" i="56"/>
  <c r="H7" i="56"/>
  <c r="G7" i="56"/>
  <c r="F7" i="56"/>
  <c r="E7" i="56"/>
  <c r="J6" i="56"/>
  <c r="I6" i="56"/>
  <c r="H6" i="56"/>
  <c r="G6" i="56"/>
  <c r="F6" i="56"/>
  <c r="E6" i="56"/>
  <c r="J9" i="56"/>
  <c r="I9" i="56"/>
  <c r="H9" i="56"/>
  <c r="G9" i="56"/>
  <c r="F9" i="56"/>
  <c r="H10" i="41"/>
  <c r="G10" i="41"/>
  <c r="BI14" i="15"/>
  <c r="BH14" i="15"/>
  <c r="BG14" i="15"/>
  <c r="BF14" i="15"/>
  <c r="BE14" i="15"/>
  <c r="BD14" i="15"/>
  <c r="BI13" i="15"/>
  <c r="BH13" i="15"/>
  <c r="BG13" i="15"/>
  <c r="BF13" i="15"/>
  <c r="BE13" i="15"/>
  <c r="BD13" i="15"/>
  <c r="BC13" i="15"/>
  <c r="BB13" i="15"/>
  <c r="BI12" i="15"/>
  <c r="BH12" i="15"/>
  <c r="BG12" i="15"/>
  <c r="BF12" i="15"/>
  <c r="BE12" i="15"/>
  <c r="BD12" i="15"/>
  <c r="BC12" i="15"/>
  <c r="BI11" i="15"/>
  <c r="BH11" i="15"/>
  <c r="BG11" i="15"/>
  <c r="BF11" i="15"/>
  <c r="BE11" i="15"/>
  <c r="BD11" i="15"/>
  <c r="BC11" i="15"/>
  <c r="BI10" i="15"/>
  <c r="BH10" i="15"/>
  <c r="BG10" i="15"/>
  <c r="BF10" i="15"/>
  <c r="BE10" i="15"/>
  <c r="BD10" i="15"/>
  <c r="BC10" i="15"/>
  <c r="BI9" i="15"/>
  <c r="BH9" i="15"/>
  <c r="BG9" i="15"/>
  <c r="BF9" i="15"/>
  <c r="BE9" i="15"/>
  <c r="BD9" i="15"/>
  <c r="BC9" i="15"/>
  <c r="BC8" i="15"/>
  <c r="BI7" i="15"/>
  <c r="BH7" i="15"/>
  <c r="BG7" i="15"/>
  <c r="BF7" i="15"/>
  <c r="BE7" i="15"/>
  <c r="BD7" i="15"/>
  <c r="BC7" i="15"/>
  <c r="BI6" i="15"/>
  <c r="BH6" i="15"/>
  <c r="BG6" i="15"/>
  <c r="BF6" i="15"/>
  <c r="BE6" i="15"/>
  <c r="BD6" i="15"/>
  <c r="BC6" i="15"/>
  <c r="AZ14" i="15"/>
  <c r="AY14" i="15"/>
  <c r="AX14" i="15"/>
  <c r="AW14" i="15"/>
  <c r="AV14" i="15"/>
  <c r="AU14" i="15"/>
  <c r="AT14" i="15"/>
  <c r="BC14" i="15" s="1"/>
  <c r="AS14" i="15"/>
  <c r="BB14" i="15" s="1"/>
  <c r="AZ12" i="15"/>
  <c r="AY12" i="15"/>
  <c r="AX12" i="15"/>
  <c r="AW12" i="15"/>
  <c r="AV12" i="15"/>
  <c r="AU12" i="15"/>
  <c r="AT12" i="15"/>
  <c r="AS12" i="15"/>
  <c r="AZ11" i="15"/>
  <c r="AY11" i="15"/>
  <c r="AX11" i="15"/>
  <c r="AW11" i="15"/>
  <c r="AV11" i="15"/>
  <c r="AU11" i="15"/>
  <c r="AT11" i="15"/>
  <c r="AS11" i="15"/>
  <c r="AZ10" i="15"/>
  <c r="AY10" i="15"/>
  <c r="AX10" i="15"/>
  <c r="AW10" i="15"/>
  <c r="AV10" i="15"/>
  <c r="AU10" i="15"/>
  <c r="AT10" i="15"/>
  <c r="AS10" i="15"/>
  <c r="AZ9" i="15"/>
  <c r="AY9" i="15"/>
  <c r="AX9" i="15"/>
  <c r="AW9" i="15"/>
  <c r="AV9" i="15"/>
  <c r="AU9" i="15"/>
  <c r="AT9" i="15"/>
  <c r="AS9" i="15"/>
  <c r="AZ8" i="15"/>
  <c r="AY8" i="15"/>
  <c r="AX8" i="15"/>
  <c r="AX37" i="15" s="1"/>
  <c r="AW8" i="15"/>
  <c r="AV8" i="15"/>
  <c r="AU8" i="15"/>
  <c r="AU37" i="15" s="1"/>
  <c r="AT8" i="15"/>
  <c r="AS8" i="15"/>
  <c r="AZ7" i="15"/>
  <c r="AY7" i="15"/>
  <c r="AX7" i="15"/>
  <c r="AW7" i="15"/>
  <c r="AV7" i="15"/>
  <c r="AU7" i="15"/>
  <c r="AT7" i="15"/>
  <c r="AS7" i="15"/>
  <c r="AZ6" i="15"/>
  <c r="AY6" i="15"/>
  <c r="AX6" i="15"/>
  <c r="AW6" i="15"/>
  <c r="AW37" i="15" s="1"/>
  <c r="AV6" i="15"/>
  <c r="AU6" i="15"/>
  <c r="AT6" i="15"/>
  <c r="AS6" i="15"/>
  <c r="AQ12" i="15"/>
  <c r="AP12" i="15"/>
  <c r="AO12" i="15"/>
  <c r="AN12" i="15"/>
  <c r="AM12" i="15"/>
  <c r="AL12" i="15"/>
  <c r="AK12" i="15"/>
  <c r="AK37" i="15" s="1"/>
  <c r="AJ12" i="15"/>
  <c r="AQ11" i="15"/>
  <c r="AP11" i="15"/>
  <c r="AO11" i="15"/>
  <c r="AN11" i="15"/>
  <c r="AM11" i="15"/>
  <c r="AL11" i="15"/>
  <c r="AK11" i="15"/>
  <c r="AJ11" i="15"/>
  <c r="AQ10" i="15"/>
  <c r="AP10" i="15"/>
  <c r="AO10" i="15"/>
  <c r="AN10" i="15"/>
  <c r="AM10" i="15"/>
  <c r="AL10" i="15"/>
  <c r="AK10" i="15"/>
  <c r="AJ10" i="15"/>
  <c r="AQ9" i="15"/>
  <c r="AP9" i="15"/>
  <c r="AO9" i="15"/>
  <c r="AN9" i="15"/>
  <c r="AM9" i="15"/>
  <c r="AL9" i="15"/>
  <c r="AK9" i="15"/>
  <c r="AJ9" i="15"/>
  <c r="AQ8" i="15"/>
  <c r="AP8" i="15"/>
  <c r="AO8" i="15"/>
  <c r="AN8" i="15"/>
  <c r="AM8" i="15"/>
  <c r="AL8" i="15"/>
  <c r="AL37" i="15" s="1"/>
  <c r="AK8" i="15"/>
  <c r="AJ8" i="15"/>
  <c r="AQ7" i="15"/>
  <c r="AP7" i="15"/>
  <c r="AO7" i="15"/>
  <c r="AN7" i="15"/>
  <c r="AM7" i="15"/>
  <c r="AL7" i="15"/>
  <c r="AK7" i="15"/>
  <c r="AJ7" i="15"/>
  <c r="AQ6" i="15"/>
  <c r="AP6" i="15"/>
  <c r="AO6" i="15"/>
  <c r="AN6" i="15"/>
  <c r="AN37" i="15" s="1"/>
  <c r="AM6" i="15"/>
  <c r="AL6" i="15"/>
  <c r="AK6" i="15"/>
  <c r="AJ6" i="15"/>
  <c r="AJ37" i="15" s="1"/>
  <c r="AH12" i="15"/>
  <c r="AG12" i="15"/>
  <c r="AF12" i="15"/>
  <c r="AE12" i="15"/>
  <c r="AD12" i="15"/>
  <c r="AC12" i="15"/>
  <c r="AB12" i="15"/>
  <c r="AA12" i="15"/>
  <c r="AH11" i="15"/>
  <c r="AG11" i="15"/>
  <c r="AF11" i="15"/>
  <c r="AE11" i="15"/>
  <c r="AD11" i="15"/>
  <c r="AC11" i="15"/>
  <c r="AB11" i="15"/>
  <c r="AA11" i="15"/>
  <c r="AH10" i="15"/>
  <c r="AG10" i="15"/>
  <c r="AF10" i="15"/>
  <c r="AE10" i="15"/>
  <c r="AD10" i="15"/>
  <c r="AC10" i="15"/>
  <c r="AB10" i="15"/>
  <c r="AA10" i="15"/>
  <c r="AH9" i="15"/>
  <c r="AG9" i="15"/>
  <c r="AF9" i="15"/>
  <c r="AE9" i="15"/>
  <c r="AD9" i="15"/>
  <c r="AC9" i="15"/>
  <c r="AB9" i="15"/>
  <c r="AA9" i="15"/>
  <c r="AH8" i="15"/>
  <c r="AG8" i="15"/>
  <c r="AF8" i="15"/>
  <c r="AE8" i="15"/>
  <c r="AD8" i="15"/>
  <c r="AC8" i="15"/>
  <c r="AC37" i="15" s="1"/>
  <c r="AB8" i="15"/>
  <c r="AA8" i="15"/>
  <c r="AH7" i="15"/>
  <c r="AG7" i="15"/>
  <c r="AF7" i="15"/>
  <c r="AE7" i="15"/>
  <c r="AD7" i="15"/>
  <c r="AC7" i="15"/>
  <c r="AB7" i="15"/>
  <c r="AA7" i="15"/>
  <c r="AH6" i="15"/>
  <c r="AG6" i="15"/>
  <c r="AF6" i="15"/>
  <c r="AE6" i="15"/>
  <c r="AD6" i="15"/>
  <c r="AC6" i="15"/>
  <c r="AB6" i="15"/>
  <c r="AA6" i="15"/>
  <c r="AA37" i="15" s="1"/>
  <c r="Y12" i="15"/>
  <c r="X12" i="15"/>
  <c r="W12" i="15"/>
  <c r="V12" i="15"/>
  <c r="U12" i="15"/>
  <c r="T12" i="15"/>
  <c r="S12" i="15"/>
  <c r="S37" i="15" s="1"/>
  <c r="R12" i="15"/>
  <c r="BB12" i="15" s="1"/>
  <c r="Y11" i="15"/>
  <c r="X11" i="15"/>
  <c r="W11" i="15"/>
  <c r="V11" i="15"/>
  <c r="U11" i="15"/>
  <c r="T11" i="15"/>
  <c r="S11" i="15"/>
  <c r="R11" i="15"/>
  <c r="BB11" i="15" s="1"/>
  <c r="Y10" i="15"/>
  <c r="X10" i="15"/>
  <c r="W10" i="15"/>
  <c r="V10" i="15"/>
  <c r="U10" i="15"/>
  <c r="T10" i="15"/>
  <c r="S10" i="15"/>
  <c r="R10" i="15"/>
  <c r="BB10" i="15" s="1"/>
  <c r="Y9" i="15"/>
  <c r="X9" i="15"/>
  <c r="W9" i="15"/>
  <c r="V9" i="15"/>
  <c r="U9" i="15"/>
  <c r="T9" i="15"/>
  <c r="S9" i="15"/>
  <c r="R9" i="15"/>
  <c r="BB9" i="15" s="1"/>
  <c r="Y8" i="15"/>
  <c r="BI8" i="15" s="1"/>
  <c r="X8" i="15"/>
  <c r="BH8" i="15" s="1"/>
  <c r="BH37" i="15" s="1"/>
  <c r="W8" i="15"/>
  <c r="W37" i="15" s="1"/>
  <c r="V8" i="15"/>
  <c r="BF8" i="15" s="1"/>
  <c r="U8" i="15"/>
  <c r="BE8" i="15" s="1"/>
  <c r="T8" i="15"/>
  <c r="T37" i="15" s="1"/>
  <c r="S8" i="15"/>
  <c r="R8" i="15"/>
  <c r="BB8" i="15" s="1"/>
  <c r="Y7" i="15"/>
  <c r="X7" i="15"/>
  <c r="W7" i="15"/>
  <c r="V7" i="15"/>
  <c r="U7" i="15"/>
  <c r="T7" i="15"/>
  <c r="S7" i="15"/>
  <c r="R7" i="15"/>
  <c r="BB7" i="15" s="1"/>
  <c r="Y6" i="15"/>
  <c r="X6" i="15"/>
  <c r="W6" i="15"/>
  <c r="V6" i="15"/>
  <c r="V37" i="15" s="1"/>
  <c r="U6" i="15"/>
  <c r="T6" i="15"/>
  <c r="S6" i="15"/>
  <c r="R6" i="15"/>
  <c r="BB6" i="15" s="1"/>
  <c r="BB37" i="15" s="1"/>
  <c r="BJ37" i="13"/>
  <c r="BI37" i="13"/>
  <c r="BH37" i="13"/>
  <c r="BG37" i="13"/>
  <c r="BF37" i="13"/>
  <c r="BD37" i="13"/>
  <c r="BA37" i="13"/>
  <c r="AZ37" i="13"/>
  <c r="AY37" i="13"/>
  <c r="AX37" i="13"/>
  <c r="AW37" i="13"/>
  <c r="AU37" i="13"/>
  <c r="AR37" i="13"/>
  <c r="AQ37" i="13"/>
  <c r="AP37" i="13"/>
  <c r="AO37" i="13"/>
  <c r="AN37" i="13"/>
  <c r="AL37" i="13"/>
  <c r="AI37" i="13"/>
  <c r="AH37" i="13"/>
  <c r="AG37" i="13"/>
  <c r="AF37" i="13"/>
  <c r="AE37" i="13"/>
  <c r="AC37" i="13"/>
  <c r="Z37" i="13"/>
  <c r="Y37" i="13"/>
  <c r="X37" i="13"/>
  <c r="W37" i="13"/>
  <c r="V37" i="13"/>
  <c r="T37" i="13"/>
  <c r="Q37" i="13"/>
  <c r="P37" i="13"/>
  <c r="O37" i="13"/>
  <c r="N37" i="13"/>
  <c r="M37" i="13"/>
  <c r="BA9" i="13"/>
  <c r="AZ9" i="13"/>
  <c r="AY9" i="13"/>
  <c r="AX9" i="13"/>
  <c r="AW9" i="13"/>
  <c r="AV9" i="13"/>
  <c r="AU9" i="13"/>
  <c r="AT9" i="13"/>
  <c r="AR9" i="13"/>
  <c r="AQ9" i="13"/>
  <c r="AP9" i="13"/>
  <c r="AO9" i="13"/>
  <c r="AN9" i="13"/>
  <c r="AM9" i="13"/>
  <c r="AL9" i="13"/>
  <c r="AK9" i="13"/>
  <c r="AI9" i="13"/>
  <c r="AH9" i="13"/>
  <c r="AG9" i="13"/>
  <c r="AF9" i="13"/>
  <c r="AE9" i="13"/>
  <c r="AD9" i="13"/>
  <c r="AC9" i="13"/>
  <c r="AB9" i="13"/>
  <c r="Z9" i="13"/>
  <c r="BJ9" i="13" s="1"/>
  <c r="Y9" i="13"/>
  <c r="BI9" i="13" s="1"/>
  <c r="X9" i="13"/>
  <c r="BH9" i="13" s="1"/>
  <c r="W9" i="13"/>
  <c r="BG9" i="13" s="1"/>
  <c r="V9" i="13"/>
  <c r="BF9" i="13" s="1"/>
  <c r="U9" i="13"/>
  <c r="BE9" i="13" s="1"/>
  <c r="E9" i="56" s="1"/>
  <c r="T9" i="13"/>
  <c r="BD9" i="13" s="1"/>
  <c r="S9" i="13"/>
  <c r="BC9" i="13" s="1"/>
  <c r="BA8" i="13"/>
  <c r="AZ8" i="13"/>
  <c r="AY8" i="13"/>
  <c r="AX8" i="13"/>
  <c r="AW8" i="13"/>
  <c r="AV8" i="13"/>
  <c r="AU8" i="13"/>
  <c r="AT8" i="13"/>
  <c r="AR8" i="13"/>
  <c r="AQ8" i="13"/>
  <c r="AP8" i="13"/>
  <c r="AO8" i="13"/>
  <c r="AN8" i="13"/>
  <c r="AM8" i="13"/>
  <c r="AL8" i="13"/>
  <c r="AK8" i="13"/>
  <c r="AI8" i="13"/>
  <c r="AH8" i="13"/>
  <c r="AG8" i="13"/>
  <c r="AF8" i="13"/>
  <c r="AE8" i="13"/>
  <c r="AD8" i="13"/>
  <c r="AC8" i="13"/>
  <c r="AB8" i="13"/>
  <c r="Z8" i="13"/>
  <c r="BJ8" i="13" s="1"/>
  <c r="Y8" i="13"/>
  <c r="BI8" i="13" s="1"/>
  <c r="X8" i="13"/>
  <c r="BH8" i="13" s="1"/>
  <c r="W8" i="13"/>
  <c r="BG8" i="13" s="1"/>
  <c r="V8" i="13"/>
  <c r="BF8" i="13" s="1"/>
  <c r="U8" i="13"/>
  <c r="BE8" i="13" s="1"/>
  <c r="T8" i="13"/>
  <c r="BD8" i="13" s="1"/>
  <c r="S8" i="13"/>
  <c r="BC8" i="13" s="1"/>
  <c r="BA7" i="13"/>
  <c r="AZ7" i="13"/>
  <c r="AY7" i="13"/>
  <c r="AX7" i="13"/>
  <c r="AW7" i="13"/>
  <c r="AV7" i="13"/>
  <c r="AU7" i="13"/>
  <c r="AT7" i="13"/>
  <c r="AR7" i="13"/>
  <c r="AQ7" i="13"/>
  <c r="AP7" i="13"/>
  <c r="AO7" i="13"/>
  <c r="AN7" i="13"/>
  <c r="AM7" i="13"/>
  <c r="AL7" i="13"/>
  <c r="AK7" i="13"/>
  <c r="AI7" i="13"/>
  <c r="AH7" i="13"/>
  <c r="AG7" i="13"/>
  <c r="AF7" i="13"/>
  <c r="AE7" i="13"/>
  <c r="AD7" i="13"/>
  <c r="AC7" i="13"/>
  <c r="AB7" i="13"/>
  <c r="Z7" i="13"/>
  <c r="BJ7" i="13" s="1"/>
  <c r="Y7" i="13"/>
  <c r="BI7" i="13" s="1"/>
  <c r="X7" i="13"/>
  <c r="BH7" i="13" s="1"/>
  <c r="W7" i="13"/>
  <c r="BG7" i="13" s="1"/>
  <c r="V7" i="13"/>
  <c r="BF7" i="13" s="1"/>
  <c r="U7" i="13"/>
  <c r="BE7" i="13" s="1"/>
  <c r="T7" i="13"/>
  <c r="BD7" i="13" s="1"/>
  <c r="S7" i="13"/>
  <c r="BC7" i="13" s="1"/>
  <c r="BA6" i="13"/>
  <c r="AZ6" i="13"/>
  <c r="AY6" i="13"/>
  <c r="AX6" i="13"/>
  <c r="AW6" i="13"/>
  <c r="AV6" i="13"/>
  <c r="AV37" i="13" s="1"/>
  <c r="AU6" i="13"/>
  <c r="AT6" i="13"/>
  <c r="AT37" i="13" s="1"/>
  <c r="AR6" i="13"/>
  <c r="AQ6" i="13"/>
  <c r="AP6" i="13"/>
  <c r="AO6" i="13"/>
  <c r="AN6" i="13"/>
  <c r="AM6" i="13"/>
  <c r="AM37" i="13" s="1"/>
  <c r="AL6" i="13"/>
  <c r="AK6" i="13"/>
  <c r="AK37" i="13" s="1"/>
  <c r="AI6" i="13"/>
  <c r="AH6" i="13"/>
  <c r="AG6" i="13"/>
  <c r="AF6" i="13"/>
  <c r="AE6" i="13"/>
  <c r="AD6" i="13"/>
  <c r="AD37" i="13" s="1"/>
  <c r="AC6" i="13"/>
  <c r="AB6" i="13"/>
  <c r="AB37" i="13" s="1"/>
  <c r="Z6" i="13"/>
  <c r="BJ6" i="13" s="1"/>
  <c r="Y6" i="13"/>
  <c r="BI6" i="13" s="1"/>
  <c r="X6" i="13"/>
  <c r="BH6" i="13" s="1"/>
  <c r="W6" i="13"/>
  <c r="BG6" i="13" s="1"/>
  <c r="V6" i="13"/>
  <c r="BF6" i="13" s="1"/>
  <c r="U6" i="13"/>
  <c r="BE6" i="13" s="1"/>
  <c r="BE37" i="13" s="1"/>
  <c r="T6" i="13"/>
  <c r="BD6" i="13" s="1"/>
  <c r="S6" i="13"/>
  <c r="BC6" i="13" s="1"/>
  <c r="BL6" i="13" s="1"/>
  <c r="AZ37" i="15"/>
  <c r="AY37" i="15"/>
  <c r="AV37" i="15"/>
  <c r="AT37" i="15"/>
  <c r="AQ37" i="15"/>
  <c r="AP37" i="15"/>
  <c r="AO37" i="15"/>
  <c r="AM37" i="15"/>
  <c r="AH37" i="15"/>
  <c r="AG37" i="15"/>
  <c r="AF37" i="15"/>
  <c r="AD37" i="15"/>
  <c r="AB37" i="15"/>
  <c r="Y37" i="15"/>
  <c r="X37" i="15"/>
  <c r="U37" i="15"/>
  <c r="P37" i="15"/>
  <c r="O37" i="15"/>
  <c r="N37" i="15"/>
  <c r="M37" i="15"/>
  <c r="L37" i="15"/>
  <c r="K37" i="15"/>
  <c r="Z15" i="5"/>
  <c r="Y15" i="5"/>
  <c r="X15" i="5"/>
  <c r="W15" i="5"/>
  <c r="V15" i="5"/>
  <c r="U15" i="5"/>
  <c r="T15" i="5"/>
  <c r="S15" i="5"/>
  <c r="Z14" i="5"/>
  <c r="Y14" i="5"/>
  <c r="X14" i="5"/>
  <c r="W14" i="5"/>
  <c r="V14" i="5"/>
  <c r="U14" i="5"/>
  <c r="T14" i="5"/>
  <c r="S14" i="5"/>
  <c r="Z13" i="5"/>
  <c r="Y13" i="5"/>
  <c r="X13" i="5"/>
  <c r="W13" i="5"/>
  <c r="V13" i="5"/>
  <c r="U13" i="5"/>
  <c r="T13" i="5"/>
  <c r="S13" i="5"/>
  <c r="Z12" i="5"/>
  <c r="Y12" i="5"/>
  <c r="X12" i="5"/>
  <c r="W12" i="5"/>
  <c r="V12" i="5"/>
  <c r="U12" i="5"/>
  <c r="T12" i="5"/>
  <c r="S12" i="5"/>
  <c r="Z11" i="5"/>
  <c r="Y11" i="5"/>
  <c r="X11" i="5"/>
  <c r="W11" i="5"/>
  <c r="V11" i="5"/>
  <c r="U11" i="5"/>
  <c r="T11" i="5"/>
  <c r="S11" i="5"/>
  <c r="Z10" i="5"/>
  <c r="Y10" i="5"/>
  <c r="X10" i="5"/>
  <c r="W10" i="5"/>
  <c r="V10" i="5"/>
  <c r="U10" i="5"/>
  <c r="T10" i="5"/>
  <c r="S10" i="5"/>
  <c r="Z9" i="5"/>
  <c r="Y9" i="5"/>
  <c r="X9" i="5"/>
  <c r="W9" i="5"/>
  <c r="V9" i="5"/>
  <c r="U9" i="5"/>
  <c r="T9" i="5"/>
  <c r="S9" i="5"/>
  <c r="Z8" i="5"/>
  <c r="Y8" i="5"/>
  <c r="X8" i="5"/>
  <c r="W8" i="5"/>
  <c r="V8" i="5"/>
  <c r="U8" i="5"/>
  <c r="T8" i="5"/>
  <c r="S8" i="5"/>
  <c r="Z7" i="5"/>
  <c r="Y7" i="5"/>
  <c r="X7" i="5"/>
  <c r="W7" i="5"/>
  <c r="V7" i="5"/>
  <c r="U7" i="5"/>
  <c r="T7" i="5"/>
  <c r="S7" i="5"/>
  <c r="Z6" i="5"/>
  <c r="Y6" i="5"/>
  <c r="X6" i="5"/>
  <c r="X37" i="5" s="1"/>
  <c r="W6" i="5"/>
  <c r="W37" i="5" s="1"/>
  <c r="V6" i="5"/>
  <c r="U6" i="5"/>
  <c r="T6" i="5"/>
  <c r="T37" i="5" s="1"/>
  <c r="S6" i="5"/>
  <c r="S37" i="5" s="1"/>
  <c r="BV15" i="5"/>
  <c r="BU15" i="5"/>
  <c r="BT15" i="5"/>
  <c r="BS15" i="5"/>
  <c r="BR15" i="5"/>
  <c r="BP15" i="5"/>
  <c r="BO15" i="5"/>
  <c r="BN15" i="5"/>
  <c r="BM15" i="5"/>
  <c r="BL15" i="5"/>
  <c r="BJ15" i="5"/>
  <c r="BI15" i="5"/>
  <c r="BH15" i="5"/>
  <c r="BG15" i="5"/>
  <c r="BF15" i="5"/>
  <c r="BD15" i="5"/>
  <c r="BC15" i="5"/>
  <c r="BB15" i="5"/>
  <c r="BA15" i="5"/>
  <c r="AZ15" i="5"/>
  <c r="BE15" i="5" s="1"/>
  <c r="AX15" i="5"/>
  <c r="AW15" i="5"/>
  <c r="AV15" i="5"/>
  <c r="AU15" i="5"/>
  <c r="AT15" i="5"/>
  <c r="AR15" i="5"/>
  <c r="AQ15" i="5"/>
  <c r="AP15" i="5"/>
  <c r="AO15" i="5"/>
  <c r="AN15" i="5"/>
  <c r="AL15" i="5"/>
  <c r="AK15" i="5"/>
  <c r="AJ15" i="5"/>
  <c r="AI15" i="5"/>
  <c r="AH15" i="5"/>
  <c r="AG15" i="5"/>
  <c r="BV14" i="5"/>
  <c r="BU14" i="5"/>
  <c r="BT14" i="5"/>
  <c r="BS14" i="5"/>
  <c r="BW14" i="5" s="1"/>
  <c r="CX14" i="5" s="1"/>
  <c r="BR14" i="5"/>
  <c r="BP14" i="5"/>
  <c r="BO14" i="5"/>
  <c r="BN14" i="5"/>
  <c r="BM14" i="5"/>
  <c r="BL14" i="5"/>
  <c r="BJ14" i="5"/>
  <c r="BI14" i="5"/>
  <c r="BH14" i="5"/>
  <c r="BG14" i="5"/>
  <c r="BF14" i="5"/>
  <c r="BD14" i="5"/>
  <c r="BC14" i="5"/>
  <c r="BB14" i="5"/>
  <c r="BA14" i="5"/>
  <c r="AZ14" i="5"/>
  <c r="BE14" i="5" s="1"/>
  <c r="AX14" i="5"/>
  <c r="AW14" i="5"/>
  <c r="AV14" i="5"/>
  <c r="AU14" i="5"/>
  <c r="AY14" i="5" s="1"/>
  <c r="CT14" i="5" s="1"/>
  <c r="AT14" i="5"/>
  <c r="AR14" i="5"/>
  <c r="AQ14" i="5"/>
  <c r="AP14" i="5"/>
  <c r="AO14" i="5"/>
  <c r="AN14" i="5"/>
  <c r="AL14" i="5"/>
  <c r="AK14" i="5"/>
  <c r="AJ14" i="5"/>
  <c r="AI14" i="5"/>
  <c r="AH14" i="5"/>
  <c r="AG14" i="5"/>
  <c r="BV13" i="5"/>
  <c r="BU13" i="5"/>
  <c r="BT13" i="5"/>
  <c r="BS13" i="5"/>
  <c r="BR13" i="5"/>
  <c r="BP13" i="5"/>
  <c r="BO13" i="5"/>
  <c r="BN13" i="5"/>
  <c r="BM13" i="5"/>
  <c r="BL13" i="5"/>
  <c r="BJ13" i="5"/>
  <c r="BI13" i="5"/>
  <c r="BH13" i="5"/>
  <c r="BG13" i="5"/>
  <c r="BF13" i="5"/>
  <c r="BD13" i="5"/>
  <c r="BC13" i="5"/>
  <c r="BB13" i="5"/>
  <c r="BA13" i="5"/>
  <c r="AZ13" i="5"/>
  <c r="BE13" i="5" s="1"/>
  <c r="AX13" i="5"/>
  <c r="AW13" i="5"/>
  <c r="AV13" i="5"/>
  <c r="AU13" i="5"/>
  <c r="AT13" i="5"/>
  <c r="AR13" i="5"/>
  <c r="AQ13" i="5"/>
  <c r="AP13" i="5"/>
  <c r="AO13" i="5"/>
  <c r="AN13" i="5"/>
  <c r="AL13" i="5"/>
  <c r="AK13" i="5"/>
  <c r="AJ13" i="5"/>
  <c r="AI13" i="5"/>
  <c r="AH13" i="5"/>
  <c r="AG13" i="5"/>
  <c r="BV12" i="5"/>
  <c r="BU12" i="5"/>
  <c r="BT12" i="5"/>
  <c r="BS12" i="5"/>
  <c r="BR12" i="5"/>
  <c r="BP12" i="5"/>
  <c r="BO12" i="5"/>
  <c r="BN12" i="5"/>
  <c r="BM12" i="5"/>
  <c r="BL12" i="5"/>
  <c r="BJ12" i="5"/>
  <c r="BI12" i="5"/>
  <c r="BH12" i="5"/>
  <c r="BG12" i="5"/>
  <c r="BF12" i="5"/>
  <c r="BD12" i="5"/>
  <c r="BC12" i="5"/>
  <c r="BB12" i="5"/>
  <c r="BA12" i="5"/>
  <c r="AZ12" i="5"/>
  <c r="AX12" i="5"/>
  <c r="AW12" i="5"/>
  <c r="AV12" i="5"/>
  <c r="AU12" i="5"/>
  <c r="AT12" i="5"/>
  <c r="AR12" i="5"/>
  <c r="AQ12" i="5"/>
  <c r="AP12" i="5"/>
  <c r="AO12" i="5"/>
  <c r="AN12" i="5"/>
  <c r="AL12" i="5"/>
  <c r="AK12" i="5"/>
  <c r="AJ12" i="5"/>
  <c r="AI12" i="5"/>
  <c r="AH12" i="5"/>
  <c r="AG12" i="5"/>
  <c r="BV11" i="5"/>
  <c r="BU11" i="5"/>
  <c r="BT11" i="5"/>
  <c r="BS11" i="5"/>
  <c r="BR11" i="5"/>
  <c r="BP11" i="5"/>
  <c r="BO11" i="5"/>
  <c r="BN11" i="5"/>
  <c r="BM11" i="5"/>
  <c r="BL11" i="5"/>
  <c r="BJ11" i="5"/>
  <c r="BI11" i="5"/>
  <c r="BH11" i="5"/>
  <c r="BG11" i="5"/>
  <c r="BF11" i="5"/>
  <c r="BD11" i="5"/>
  <c r="BC11" i="5"/>
  <c r="BB11" i="5"/>
  <c r="BA11" i="5"/>
  <c r="AZ11" i="5"/>
  <c r="BE11" i="5" s="1"/>
  <c r="AX11" i="5"/>
  <c r="AW11" i="5"/>
  <c r="AV11" i="5"/>
  <c r="AU11" i="5"/>
  <c r="AT11" i="5"/>
  <c r="AR11" i="5"/>
  <c r="AQ11" i="5"/>
  <c r="AP11" i="5"/>
  <c r="AO11" i="5"/>
  <c r="AN11" i="5"/>
  <c r="AL11" i="5"/>
  <c r="AK11" i="5"/>
  <c r="AJ11" i="5"/>
  <c r="AI11" i="5"/>
  <c r="AH11" i="5"/>
  <c r="AG11" i="5"/>
  <c r="BV10" i="5"/>
  <c r="BU10" i="5"/>
  <c r="BT10" i="5"/>
  <c r="BS10" i="5"/>
  <c r="BW10" i="5" s="1"/>
  <c r="CX10" i="5" s="1"/>
  <c r="BR10" i="5"/>
  <c r="BP10" i="5"/>
  <c r="BO10" i="5"/>
  <c r="BN10" i="5"/>
  <c r="BM10" i="5"/>
  <c r="BL10" i="5"/>
  <c r="BJ10" i="5"/>
  <c r="BI10" i="5"/>
  <c r="BH10" i="5"/>
  <c r="BG10" i="5"/>
  <c r="BF10" i="5"/>
  <c r="BD10" i="5"/>
  <c r="BC10" i="5"/>
  <c r="BB10" i="5"/>
  <c r="BA10" i="5"/>
  <c r="AZ10" i="5"/>
  <c r="BE10" i="5" s="1"/>
  <c r="AX10" i="5"/>
  <c r="AW10" i="5"/>
  <c r="AV10" i="5"/>
  <c r="AU10" i="5"/>
  <c r="AY10" i="5" s="1"/>
  <c r="CT10" i="5" s="1"/>
  <c r="AT10" i="5"/>
  <c r="AR10" i="5"/>
  <c r="AQ10" i="5"/>
  <c r="AP10" i="5"/>
  <c r="AO10" i="5"/>
  <c r="AN10" i="5"/>
  <c r="AL10" i="5"/>
  <c r="AK10" i="5"/>
  <c r="AJ10" i="5"/>
  <c r="AI10" i="5"/>
  <c r="AH10" i="5"/>
  <c r="AG10" i="5"/>
  <c r="BV9" i="5"/>
  <c r="BU9" i="5"/>
  <c r="BT9" i="5"/>
  <c r="BS9" i="5"/>
  <c r="BR9" i="5"/>
  <c r="BP9" i="5"/>
  <c r="BO9" i="5"/>
  <c r="BN9" i="5"/>
  <c r="BM9" i="5"/>
  <c r="BL9" i="5"/>
  <c r="BJ9" i="5"/>
  <c r="BI9" i="5"/>
  <c r="BH9" i="5"/>
  <c r="BG9" i="5"/>
  <c r="BF9" i="5"/>
  <c r="BD9" i="5"/>
  <c r="BC9" i="5"/>
  <c r="BB9" i="5"/>
  <c r="BA9" i="5"/>
  <c r="AZ9" i="5"/>
  <c r="BE9" i="5" s="1"/>
  <c r="AX9" i="5"/>
  <c r="AW9" i="5"/>
  <c r="AV9" i="5"/>
  <c r="AU9" i="5"/>
  <c r="AT9" i="5"/>
  <c r="AR9" i="5"/>
  <c r="AQ9" i="5"/>
  <c r="AP9" i="5"/>
  <c r="AO9" i="5"/>
  <c r="AN9" i="5"/>
  <c r="AL9" i="5"/>
  <c r="AK9" i="5"/>
  <c r="AJ9" i="5"/>
  <c r="AI9" i="5"/>
  <c r="AH9" i="5"/>
  <c r="AG9" i="5"/>
  <c r="BV8" i="5"/>
  <c r="BU8" i="5"/>
  <c r="BT8" i="5"/>
  <c r="BS8" i="5"/>
  <c r="BR8" i="5"/>
  <c r="BP8" i="5"/>
  <c r="BO8" i="5"/>
  <c r="BN8" i="5"/>
  <c r="BM8" i="5"/>
  <c r="BL8" i="5"/>
  <c r="BJ8" i="5"/>
  <c r="BI8" i="5"/>
  <c r="BH8" i="5"/>
  <c r="BG8" i="5"/>
  <c r="BF8" i="5"/>
  <c r="BD8" i="5"/>
  <c r="BC8" i="5"/>
  <c r="BB8" i="5"/>
  <c r="BA8" i="5"/>
  <c r="AZ8" i="5"/>
  <c r="AX8" i="5"/>
  <c r="AW8" i="5"/>
  <c r="AV8" i="5"/>
  <c r="AU8" i="5"/>
  <c r="AT8" i="5"/>
  <c r="AR8" i="5"/>
  <c r="AQ8" i="5"/>
  <c r="AP8" i="5"/>
  <c r="AO8" i="5"/>
  <c r="AN8" i="5"/>
  <c r="AL8" i="5"/>
  <c r="AK8" i="5"/>
  <c r="AJ8" i="5"/>
  <c r="AI8" i="5"/>
  <c r="AH8" i="5"/>
  <c r="AG8" i="5"/>
  <c r="BV7" i="5"/>
  <c r="BU7" i="5"/>
  <c r="BT7" i="5"/>
  <c r="BS7" i="5"/>
  <c r="BR7" i="5"/>
  <c r="BP7" i="5"/>
  <c r="BO7" i="5"/>
  <c r="BN7" i="5"/>
  <c r="BM7" i="5"/>
  <c r="BL7" i="5"/>
  <c r="BJ7" i="5"/>
  <c r="BI7" i="5"/>
  <c r="BH7" i="5"/>
  <c r="BG7" i="5"/>
  <c r="BF7" i="5"/>
  <c r="BD7" i="5"/>
  <c r="BC7" i="5"/>
  <c r="BB7" i="5"/>
  <c r="BA7" i="5"/>
  <c r="AZ7" i="5"/>
  <c r="AX7" i="5"/>
  <c r="AW7" i="5"/>
  <c r="AV7" i="5"/>
  <c r="AU7" i="5"/>
  <c r="AT7" i="5"/>
  <c r="AR7" i="5"/>
  <c r="AQ7" i="5"/>
  <c r="AP7" i="5"/>
  <c r="AO7" i="5"/>
  <c r="AN7" i="5"/>
  <c r="AL7" i="5"/>
  <c r="AK7" i="5"/>
  <c r="AJ7" i="5"/>
  <c r="AI7" i="5"/>
  <c r="AH7" i="5"/>
  <c r="AG7" i="5"/>
  <c r="AG37" i="5" s="1"/>
  <c r="BV6" i="5"/>
  <c r="BU6" i="5"/>
  <c r="BT6" i="5"/>
  <c r="BS6" i="5"/>
  <c r="BW6" i="5" s="1"/>
  <c r="BR6" i="5"/>
  <c r="BP6" i="5"/>
  <c r="BO6" i="5"/>
  <c r="BN6" i="5"/>
  <c r="BM6" i="5"/>
  <c r="BL6" i="5"/>
  <c r="BJ6" i="5"/>
  <c r="BI6" i="5"/>
  <c r="BH6" i="5"/>
  <c r="BG6" i="5"/>
  <c r="BG37" i="5" s="1"/>
  <c r="BF6" i="5"/>
  <c r="BD6" i="5"/>
  <c r="BC6" i="5"/>
  <c r="BB6" i="5"/>
  <c r="BA6" i="5"/>
  <c r="AZ6" i="5"/>
  <c r="BE6" i="5" s="1"/>
  <c r="AX6" i="5"/>
  <c r="AW6" i="5"/>
  <c r="AV6" i="5"/>
  <c r="AU6" i="5"/>
  <c r="AY6" i="5" s="1"/>
  <c r="AT6" i="5"/>
  <c r="AR6" i="5"/>
  <c r="AQ6" i="5"/>
  <c r="AP6" i="5"/>
  <c r="AO6" i="5"/>
  <c r="AN6" i="5"/>
  <c r="AL6" i="5"/>
  <c r="AK6" i="5"/>
  <c r="AJ6" i="5"/>
  <c r="AI6" i="5"/>
  <c r="AH6" i="5"/>
  <c r="AG6" i="5"/>
  <c r="CO15" i="5"/>
  <c r="CN15" i="5"/>
  <c r="CM15" i="5"/>
  <c r="CL15" i="5"/>
  <c r="CK15" i="5"/>
  <c r="CJ15" i="5"/>
  <c r="CI15" i="5"/>
  <c r="CH15" i="5"/>
  <c r="CO14" i="5"/>
  <c r="CN14" i="5"/>
  <c r="CM14" i="5"/>
  <c r="CL14" i="5"/>
  <c r="CK14" i="5"/>
  <c r="CJ14" i="5"/>
  <c r="CI14" i="5"/>
  <c r="CH14" i="5"/>
  <c r="CO13" i="5"/>
  <c r="CN13" i="5"/>
  <c r="CM13" i="5"/>
  <c r="CL13" i="5"/>
  <c r="CK13" i="5"/>
  <c r="CJ13" i="5"/>
  <c r="CI13" i="5"/>
  <c r="CH13" i="5"/>
  <c r="CO12" i="5"/>
  <c r="CN12" i="5"/>
  <c r="CM12" i="5"/>
  <c r="CL12" i="5"/>
  <c r="CK12" i="5"/>
  <c r="CJ12" i="5"/>
  <c r="CI12" i="5"/>
  <c r="CH12" i="5"/>
  <c r="CO11" i="5"/>
  <c r="CN11" i="5"/>
  <c r="CM11" i="5"/>
  <c r="CL11" i="5"/>
  <c r="CK11" i="5"/>
  <c r="CJ11" i="5"/>
  <c r="CI11" i="5"/>
  <c r="CH11" i="5"/>
  <c r="CO10" i="5"/>
  <c r="CN10" i="5"/>
  <c r="CM10" i="5"/>
  <c r="CL10" i="5"/>
  <c r="CK10" i="5"/>
  <c r="CJ10" i="5"/>
  <c r="CI10" i="5"/>
  <c r="CH10" i="5"/>
  <c r="CO9" i="5"/>
  <c r="CN9" i="5"/>
  <c r="CM9" i="5"/>
  <c r="CL9" i="5"/>
  <c r="CK9" i="5"/>
  <c r="CJ9" i="5"/>
  <c r="CI9" i="5"/>
  <c r="CH9" i="5"/>
  <c r="CO8" i="5"/>
  <c r="CN8" i="5"/>
  <c r="CM8" i="5"/>
  <c r="CL8" i="5"/>
  <c r="CK8" i="5"/>
  <c r="CJ8" i="5"/>
  <c r="CI8" i="5"/>
  <c r="CH8" i="5"/>
  <c r="CO7" i="5"/>
  <c r="CN7" i="5"/>
  <c r="CM7" i="5"/>
  <c r="CL7" i="5"/>
  <c r="CK7" i="5"/>
  <c r="CJ7" i="5"/>
  <c r="CI7" i="5"/>
  <c r="CH7" i="5"/>
  <c r="CO6" i="5"/>
  <c r="CO37" i="5" s="1"/>
  <c r="CN6" i="5"/>
  <c r="CM6" i="5"/>
  <c r="CL6" i="5"/>
  <c r="CL37" i="5" s="1"/>
  <c r="CK6" i="5"/>
  <c r="CJ6" i="5"/>
  <c r="CI6" i="5"/>
  <c r="CH6" i="5"/>
  <c r="CH37" i="5" s="1"/>
  <c r="CF15" i="5"/>
  <c r="CE15" i="5"/>
  <c r="CD15" i="5"/>
  <c r="CC15" i="5"/>
  <c r="CB15" i="5"/>
  <c r="CA15" i="5"/>
  <c r="BZ15" i="5"/>
  <c r="BY15" i="5"/>
  <c r="CF14" i="5"/>
  <c r="CE14" i="5"/>
  <c r="CD14" i="5"/>
  <c r="CC14" i="5"/>
  <c r="CB14" i="5"/>
  <c r="CA14" i="5"/>
  <c r="BZ14" i="5"/>
  <c r="BY14" i="5"/>
  <c r="CQ14" i="5" s="1"/>
  <c r="CF13" i="5"/>
  <c r="CE13" i="5"/>
  <c r="CD13" i="5"/>
  <c r="CC13" i="5"/>
  <c r="CB13" i="5"/>
  <c r="CA13" i="5"/>
  <c r="BZ13" i="5"/>
  <c r="BY13" i="5"/>
  <c r="CQ13" i="5" s="1"/>
  <c r="CF12" i="5"/>
  <c r="CE12" i="5"/>
  <c r="CD12" i="5"/>
  <c r="CC12" i="5"/>
  <c r="CB12" i="5"/>
  <c r="CA12" i="5"/>
  <c r="BZ12" i="5"/>
  <c r="BY12" i="5"/>
  <c r="CF11" i="5"/>
  <c r="CE11" i="5"/>
  <c r="CD11" i="5"/>
  <c r="CC11" i="5"/>
  <c r="CB11" i="5"/>
  <c r="CA11" i="5"/>
  <c r="BZ11" i="5"/>
  <c r="BY11" i="5"/>
  <c r="CF10" i="5"/>
  <c r="CE10" i="5"/>
  <c r="CD10" i="5"/>
  <c r="CC10" i="5"/>
  <c r="CB10" i="5"/>
  <c r="CA10" i="5"/>
  <c r="BZ10" i="5"/>
  <c r="BY10" i="5"/>
  <c r="CQ10" i="5" s="1"/>
  <c r="CF9" i="5"/>
  <c r="CE9" i="5"/>
  <c r="CD9" i="5"/>
  <c r="CC9" i="5"/>
  <c r="CB9" i="5"/>
  <c r="CA9" i="5"/>
  <c r="BZ9" i="5"/>
  <c r="BY9" i="5"/>
  <c r="CQ9" i="5" s="1"/>
  <c r="CF8" i="5"/>
  <c r="CE8" i="5"/>
  <c r="CD8" i="5"/>
  <c r="CC8" i="5"/>
  <c r="CB8" i="5"/>
  <c r="CA8" i="5"/>
  <c r="BZ8" i="5"/>
  <c r="BY8" i="5"/>
  <c r="CF7" i="5"/>
  <c r="CE7" i="5"/>
  <c r="CD7" i="5"/>
  <c r="CC7" i="5"/>
  <c r="CB7" i="5"/>
  <c r="CA7" i="5"/>
  <c r="BZ7" i="5"/>
  <c r="BY7" i="5"/>
  <c r="CF6" i="5"/>
  <c r="CE6" i="5"/>
  <c r="CD6" i="5"/>
  <c r="CC6" i="5"/>
  <c r="CC37" i="5" s="1"/>
  <c r="CB6" i="5"/>
  <c r="CB37" i="5" s="1"/>
  <c r="CA6" i="5"/>
  <c r="BZ6" i="5"/>
  <c r="BY6" i="5"/>
  <c r="BY37" i="5" s="1"/>
  <c r="CN37" i="5"/>
  <c r="CM37" i="5"/>
  <c r="CK37" i="5"/>
  <c r="CJ37" i="5"/>
  <c r="CI37" i="5"/>
  <c r="CF37" i="5"/>
  <c r="CE37" i="5"/>
  <c r="CD37" i="5"/>
  <c r="CA37" i="5"/>
  <c r="BZ37" i="5"/>
  <c r="BO37" i="5"/>
  <c r="BC37" i="5"/>
  <c r="AU37" i="5"/>
  <c r="AQ37" i="5"/>
  <c r="AI37" i="5"/>
  <c r="Z37" i="5"/>
  <c r="Y37" i="5"/>
  <c r="V37" i="5"/>
  <c r="U37" i="5"/>
  <c r="Q37" i="5"/>
  <c r="P37" i="5"/>
  <c r="O37" i="5"/>
  <c r="N37" i="5"/>
  <c r="M37" i="5"/>
  <c r="L37" i="5"/>
  <c r="K37" i="5"/>
  <c r="CZ15" i="5"/>
  <c r="CZ14" i="5"/>
  <c r="CZ13" i="5"/>
  <c r="CZ12" i="5"/>
  <c r="CZ11" i="5"/>
  <c r="CZ10" i="5"/>
  <c r="CZ9" i="5"/>
  <c r="CZ8" i="5"/>
  <c r="CZ37" i="5" s="1"/>
  <c r="CZ7" i="5"/>
  <c r="CZ6" i="5"/>
  <c r="BV31" i="4"/>
  <c r="BU31" i="4"/>
  <c r="BT31" i="4"/>
  <c r="BS31" i="4"/>
  <c r="BW31" i="4" s="1"/>
  <c r="BR31" i="4"/>
  <c r="BV29" i="4"/>
  <c r="BU29" i="4"/>
  <c r="BT29" i="4"/>
  <c r="BS29" i="4"/>
  <c r="BR29" i="4"/>
  <c r="BV28" i="4"/>
  <c r="BU28" i="4"/>
  <c r="BT28" i="4"/>
  <c r="BS28" i="4"/>
  <c r="BR28" i="4"/>
  <c r="BW28" i="4" s="1"/>
  <c r="BV27" i="4"/>
  <c r="BU27" i="4"/>
  <c r="BT27" i="4"/>
  <c r="BS27" i="4"/>
  <c r="BW27" i="4" s="1"/>
  <c r="BR27" i="4"/>
  <c r="BV26" i="4"/>
  <c r="BU26" i="4"/>
  <c r="BT26" i="4"/>
  <c r="BW26" i="4" s="1"/>
  <c r="BS26" i="4"/>
  <c r="BR26" i="4"/>
  <c r="BV25" i="4"/>
  <c r="BU25" i="4"/>
  <c r="BT25" i="4"/>
  <c r="BS25" i="4"/>
  <c r="BR25" i="4"/>
  <c r="BV24" i="4"/>
  <c r="BU24" i="4"/>
  <c r="BT24" i="4"/>
  <c r="BS24" i="4"/>
  <c r="BR24" i="4"/>
  <c r="BW24" i="4" s="1"/>
  <c r="BV23" i="4"/>
  <c r="BU23" i="4"/>
  <c r="BT23" i="4"/>
  <c r="BS23" i="4"/>
  <c r="BW23" i="4" s="1"/>
  <c r="BR23" i="4"/>
  <c r="BV22" i="4"/>
  <c r="BU22" i="4"/>
  <c r="BT22" i="4"/>
  <c r="BW22" i="4" s="1"/>
  <c r="BS22" i="4"/>
  <c r="BR22" i="4"/>
  <c r="BV21" i="4"/>
  <c r="BU21" i="4"/>
  <c r="BT21" i="4"/>
  <c r="BS21" i="4"/>
  <c r="BR21" i="4"/>
  <c r="BV20" i="4"/>
  <c r="BU20" i="4"/>
  <c r="BT20" i="4"/>
  <c r="BS20" i="4"/>
  <c r="BR20" i="4"/>
  <c r="BW20" i="4" s="1"/>
  <c r="BV19" i="4"/>
  <c r="BU19" i="4"/>
  <c r="BT19" i="4"/>
  <c r="BS19" i="4"/>
  <c r="BW19" i="4" s="1"/>
  <c r="BR19" i="4"/>
  <c r="BV18" i="4"/>
  <c r="BU18" i="4"/>
  <c r="BT18" i="4"/>
  <c r="BW18" i="4" s="1"/>
  <c r="BS18" i="4"/>
  <c r="BR18" i="4"/>
  <c r="BV17" i="4"/>
  <c r="BU17" i="4"/>
  <c r="BT17" i="4"/>
  <c r="BS17" i="4"/>
  <c r="BR17" i="4"/>
  <c r="BW16" i="4"/>
  <c r="BV15" i="4"/>
  <c r="BU15" i="4"/>
  <c r="BT15" i="4"/>
  <c r="BS15" i="4"/>
  <c r="BW15" i="4" s="1"/>
  <c r="BR15" i="4"/>
  <c r="BV14" i="4"/>
  <c r="BU14" i="4"/>
  <c r="BT14" i="4"/>
  <c r="BW14" i="4" s="1"/>
  <c r="BS14" i="4"/>
  <c r="BR14" i="4"/>
  <c r="BV13" i="4"/>
  <c r="BU13" i="4"/>
  <c r="BT13" i="4"/>
  <c r="BS13" i="4"/>
  <c r="BR13" i="4"/>
  <c r="BW12" i="4"/>
  <c r="BV11" i="4"/>
  <c r="BU11" i="4"/>
  <c r="BT11" i="4"/>
  <c r="BS11" i="4"/>
  <c r="BW11" i="4" s="1"/>
  <c r="BR11" i="4"/>
  <c r="BV10" i="4"/>
  <c r="BU10" i="4"/>
  <c r="BT10" i="4"/>
  <c r="BW10" i="4" s="1"/>
  <c r="BS10" i="4"/>
  <c r="BR10" i="4"/>
  <c r="BV9" i="4"/>
  <c r="BU9" i="4"/>
  <c r="BT9" i="4"/>
  <c r="BS9" i="4"/>
  <c r="BR9" i="4"/>
  <c r="BV8" i="4"/>
  <c r="BU8" i="4"/>
  <c r="BT8" i="4"/>
  <c r="BS8" i="4"/>
  <c r="BR8" i="4"/>
  <c r="BW8" i="4" s="1"/>
  <c r="BV7" i="4"/>
  <c r="BU7" i="4"/>
  <c r="BT7" i="4"/>
  <c r="BS7" i="4"/>
  <c r="BW7" i="4" s="1"/>
  <c r="BR7" i="4"/>
  <c r="BV6" i="4"/>
  <c r="BU6" i="4"/>
  <c r="BU37" i="4" s="1"/>
  <c r="BT6" i="4"/>
  <c r="BT37" i="4" s="1"/>
  <c r="BS6" i="4"/>
  <c r="BR6" i="4"/>
  <c r="BP31" i="4"/>
  <c r="BO31" i="4"/>
  <c r="BN31" i="4"/>
  <c r="BM31" i="4"/>
  <c r="BL31" i="4"/>
  <c r="BP29" i="4"/>
  <c r="BO29" i="4"/>
  <c r="BN29" i="4"/>
  <c r="BM29" i="4"/>
  <c r="BL29" i="4"/>
  <c r="BQ29" i="4" s="1"/>
  <c r="BP28" i="4"/>
  <c r="BO28" i="4"/>
  <c r="BN28" i="4"/>
  <c r="BM28" i="4"/>
  <c r="BL28" i="4"/>
  <c r="BQ28" i="4" s="1"/>
  <c r="BP27" i="4"/>
  <c r="BO27" i="4"/>
  <c r="BN27" i="4"/>
  <c r="BM27" i="4"/>
  <c r="BL27" i="4"/>
  <c r="BP26" i="4"/>
  <c r="BO26" i="4"/>
  <c r="BN26" i="4"/>
  <c r="BQ26" i="4" s="1"/>
  <c r="BM26" i="4"/>
  <c r="BL26" i="4"/>
  <c r="BP25" i="4"/>
  <c r="BO25" i="4"/>
  <c r="BN25" i="4"/>
  <c r="BM25" i="4"/>
  <c r="BL25" i="4"/>
  <c r="BQ25" i="4" s="1"/>
  <c r="BP24" i="4"/>
  <c r="BO24" i="4"/>
  <c r="BN24" i="4"/>
  <c r="BM24" i="4"/>
  <c r="BL24" i="4"/>
  <c r="BQ24" i="4" s="1"/>
  <c r="BP23" i="4"/>
  <c r="BO23" i="4"/>
  <c r="BN23" i="4"/>
  <c r="BM23" i="4"/>
  <c r="BL23" i="4"/>
  <c r="BP22" i="4"/>
  <c r="BO22" i="4"/>
  <c r="BN22" i="4"/>
  <c r="BQ22" i="4" s="1"/>
  <c r="BM22" i="4"/>
  <c r="BL22" i="4"/>
  <c r="BP21" i="4"/>
  <c r="BO21" i="4"/>
  <c r="BN21" i="4"/>
  <c r="BM21" i="4"/>
  <c r="BL21" i="4"/>
  <c r="BQ21" i="4" s="1"/>
  <c r="BP20" i="4"/>
  <c r="BO20" i="4"/>
  <c r="BN20" i="4"/>
  <c r="BM20" i="4"/>
  <c r="BL20" i="4"/>
  <c r="BQ20" i="4" s="1"/>
  <c r="BP19" i="4"/>
  <c r="BO19" i="4"/>
  <c r="BN19" i="4"/>
  <c r="BM19" i="4"/>
  <c r="BL19" i="4"/>
  <c r="BP18" i="4"/>
  <c r="BO18" i="4"/>
  <c r="BN18" i="4"/>
  <c r="BM18" i="4"/>
  <c r="BL18" i="4"/>
  <c r="BQ18" i="4" s="1"/>
  <c r="BP17" i="4"/>
  <c r="BO17" i="4"/>
  <c r="BN17" i="4"/>
  <c r="BM17" i="4"/>
  <c r="BL17" i="4"/>
  <c r="BQ17" i="4" s="1"/>
  <c r="BQ16" i="4"/>
  <c r="BP15" i="4"/>
  <c r="BO15" i="4"/>
  <c r="BN15" i="4"/>
  <c r="BM15" i="4"/>
  <c r="BL15" i="4"/>
  <c r="BP14" i="4"/>
  <c r="BO14" i="4"/>
  <c r="BN14" i="4"/>
  <c r="BM14" i="4"/>
  <c r="BL14" i="4"/>
  <c r="BQ14" i="4" s="1"/>
  <c r="BP13" i="4"/>
  <c r="BO13" i="4"/>
  <c r="BN13" i="4"/>
  <c r="BM13" i="4"/>
  <c r="BL13" i="4"/>
  <c r="BQ13" i="4" s="1"/>
  <c r="BQ12" i="4"/>
  <c r="BP11" i="4"/>
  <c r="BO11" i="4"/>
  <c r="BN11" i="4"/>
  <c r="BM11" i="4"/>
  <c r="BL11" i="4"/>
  <c r="BP10" i="4"/>
  <c r="BO10" i="4"/>
  <c r="BN10" i="4"/>
  <c r="BM10" i="4"/>
  <c r="BL10" i="4"/>
  <c r="BQ10" i="4" s="1"/>
  <c r="BP9" i="4"/>
  <c r="BO9" i="4"/>
  <c r="BN9" i="4"/>
  <c r="BM9" i="4"/>
  <c r="BL9" i="4"/>
  <c r="BQ9" i="4" s="1"/>
  <c r="BP8" i="4"/>
  <c r="BO8" i="4"/>
  <c r="BN8" i="4"/>
  <c r="BM8" i="4"/>
  <c r="BL8" i="4"/>
  <c r="BQ8" i="4" s="1"/>
  <c r="BP7" i="4"/>
  <c r="BO7" i="4"/>
  <c r="BN7" i="4"/>
  <c r="BM7" i="4"/>
  <c r="BL7" i="4"/>
  <c r="BP6" i="4"/>
  <c r="BP37" i="4" s="1"/>
  <c r="BO6" i="4"/>
  <c r="BO37" i="4" s="1"/>
  <c r="BN6" i="4"/>
  <c r="BN37" i="4" s="1"/>
  <c r="BM6" i="4"/>
  <c r="BL6" i="4"/>
  <c r="BJ31" i="4"/>
  <c r="BI31" i="4"/>
  <c r="BH31" i="4"/>
  <c r="BG31" i="4"/>
  <c r="BK31" i="4" s="1"/>
  <c r="BF31" i="4"/>
  <c r="BJ29" i="4"/>
  <c r="BI29" i="4"/>
  <c r="BK29" i="4" s="1"/>
  <c r="BH29" i="4"/>
  <c r="BG29" i="4"/>
  <c r="BF29" i="4"/>
  <c r="BJ28" i="4"/>
  <c r="BI28" i="4"/>
  <c r="BH28" i="4"/>
  <c r="BG28" i="4"/>
  <c r="BF28" i="4"/>
  <c r="BJ27" i="4"/>
  <c r="BI27" i="4"/>
  <c r="BH27" i="4"/>
  <c r="BG27" i="4"/>
  <c r="BK27" i="4" s="1"/>
  <c r="BF27" i="4"/>
  <c r="BJ26" i="4"/>
  <c r="BI26" i="4"/>
  <c r="BH26" i="4"/>
  <c r="BK26" i="4" s="1"/>
  <c r="BG26" i="4"/>
  <c r="BF26" i="4"/>
  <c r="BJ25" i="4"/>
  <c r="BI25" i="4"/>
  <c r="BK25" i="4" s="1"/>
  <c r="BH25" i="4"/>
  <c r="BG25" i="4"/>
  <c r="BF25" i="4"/>
  <c r="BJ24" i="4"/>
  <c r="BI24" i="4"/>
  <c r="BH24" i="4"/>
  <c r="BG24" i="4"/>
  <c r="BF24" i="4"/>
  <c r="BJ23" i="4"/>
  <c r="BI23" i="4"/>
  <c r="BH23" i="4"/>
  <c r="BG23" i="4"/>
  <c r="BK23" i="4" s="1"/>
  <c r="BF23" i="4"/>
  <c r="BJ22" i="4"/>
  <c r="BI22" i="4"/>
  <c r="BH22" i="4"/>
  <c r="BK22" i="4" s="1"/>
  <c r="BG22" i="4"/>
  <c r="BF22" i="4"/>
  <c r="BJ21" i="4"/>
  <c r="BI21" i="4"/>
  <c r="BK21" i="4" s="1"/>
  <c r="BH21" i="4"/>
  <c r="BG21" i="4"/>
  <c r="BF21" i="4"/>
  <c r="BJ20" i="4"/>
  <c r="BI20" i="4"/>
  <c r="BH20" i="4"/>
  <c r="BG20" i="4"/>
  <c r="BF20" i="4"/>
  <c r="BJ19" i="4"/>
  <c r="BI19" i="4"/>
  <c r="BH19" i="4"/>
  <c r="BG19" i="4"/>
  <c r="BK19" i="4" s="1"/>
  <c r="BF19" i="4"/>
  <c r="BJ18" i="4"/>
  <c r="BI18" i="4"/>
  <c r="BH18" i="4"/>
  <c r="BK18" i="4" s="1"/>
  <c r="BG18" i="4"/>
  <c r="BF18" i="4"/>
  <c r="BJ17" i="4"/>
  <c r="BI17" i="4"/>
  <c r="BK17" i="4" s="1"/>
  <c r="BH17" i="4"/>
  <c r="BG17" i="4"/>
  <c r="BF17" i="4"/>
  <c r="BJ15" i="4"/>
  <c r="BI15" i="4"/>
  <c r="BH15" i="4"/>
  <c r="BG15" i="4"/>
  <c r="BK15" i="4" s="1"/>
  <c r="BF15" i="4"/>
  <c r="BJ14" i="4"/>
  <c r="BI14" i="4"/>
  <c r="BH14" i="4"/>
  <c r="BK14" i="4" s="1"/>
  <c r="BG14" i="4"/>
  <c r="BF14" i="4"/>
  <c r="BJ13" i="4"/>
  <c r="BI13" i="4"/>
  <c r="BK13" i="4" s="1"/>
  <c r="BH13" i="4"/>
  <c r="BG13" i="4"/>
  <c r="BF13" i="4"/>
  <c r="BJ11" i="4"/>
  <c r="BI11" i="4"/>
  <c r="BH11" i="4"/>
  <c r="BG11" i="4"/>
  <c r="BK11" i="4" s="1"/>
  <c r="BF11" i="4"/>
  <c r="BJ10" i="4"/>
  <c r="BI10" i="4"/>
  <c r="BH10" i="4"/>
  <c r="BK10" i="4" s="1"/>
  <c r="BG10" i="4"/>
  <c r="BF10" i="4"/>
  <c r="BJ9" i="4"/>
  <c r="BI9" i="4"/>
  <c r="BI37" i="4" s="1"/>
  <c r="BH9" i="4"/>
  <c r="BG9" i="4"/>
  <c r="BF9" i="4"/>
  <c r="BJ8" i="4"/>
  <c r="BI8" i="4"/>
  <c r="BH8" i="4"/>
  <c r="BG8" i="4"/>
  <c r="BF8" i="4"/>
  <c r="BJ7" i="4"/>
  <c r="BI7" i="4"/>
  <c r="BH7" i="4"/>
  <c r="BG7" i="4"/>
  <c r="BK7" i="4" s="1"/>
  <c r="BF7" i="4"/>
  <c r="BJ6" i="4"/>
  <c r="BJ37" i="4" s="1"/>
  <c r="BI6" i="4"/>
  <c r="BH6" i="4"/>
  <c r="BH37" i="4" s="1"/>
  <c r="BG6" i="4"/>
  <c r="BF6" i="4"/>
  <c r="BD31" i="4"/>
  <c r="BC31" i="4"/>
  <c r="BB31" i="4"/>
  <c r="BA31" i="4"/>
  <c r="BE31" i="4" s="1"/>
  <c r="AZ31" i="4"/>
  <c r="BD29" i="4"/>
  <c r="BC29" i="4"/>
  <c r="BE29" i="4" s="1"/>
  <c r="BB29" i="4"/>
  <c r="BA29" i="4"/>
  <c r="AZ29" i="4"/>
  <c r="BD28" i="4"/>
  <c r="BC28" i="4"/>
  <c r="BB28" i="4"/>
  <c r="BA28" i="4"/>
  <c r="AZ28" i="4"/>
  <c r="BE28" i="4" s="1"/>
  <c r="BD27" i="4"/>
  <c r="BC27" i="4"/>
  <c r="BB27" i="4"/>
  <c r="BA27" i="4"/>
  <c r="BE27" i="4" s="1"/>
  <c r="AZ27" i="4"/>
  <c r="BD26" i="4"/>
  <c r="BC26" i="4"/>
  <c r="BB26" i="4"/>
  <c r="BA26" i="4"/>
  <c r="AZ26" i="4"/>
  <c r="BD25" i="4"/>
  <c r="BC25" i="4"/>
  <c r="BE25" i="4" s="1"/>
  <c r="BB25" i="4"/>
  <c r="BA25" i="4"/>
  <c r="AZ25" i="4"/>
  <c r="BD24" i="4"/>
  <c r="BC24" i="4"/>
  <c r="BB24" i="4"/>
  <c r="BA24" i="4"/>
  <c r="AZ24" i="4"/>
  <c r="BE24" i="4" s="1"/>
  <c r="BD23" i="4"/>
  <c r="BC23" i="4"/>
  <c r="BB23" i="4"/>
  <c r="BA23" i="4"/>
  <c r="BE23" i="4" s="1"/>
  <c r="AZ23" i="4"/>
  <c r="BD22" i="4"/>
  <c r="BC22" i="4"/>
  <c r="BB22" i="4"/>
  <c r="BA22" i="4"/>
  <c r="AZ22" i="4"/>
  <c r="BD21" i="4"/>
  <c r="BC21" i="4"/>
  <c r="BE21" i="4" s="1"/>
  <c r="BB21" i="4"/>
  <c r="BA21" i="4"/>
  <c r="AZ21" i="4"/>
  <c r="BD20" i="4"/>
  <c r="BC20" i="4"/>
  <c r="BB20" i="4"/>
  <c r="BA20" i="4"/>
  <c r="AZ20" i="4"/>
  <c r="BE20" i="4" s="1"/>
  <c r="BD19" i="4"/>
  <c r="BC19" i="4"/>
  <c r="BB19" i="4"/>
  <c r="BA19" i="4"/>
  <c r="BE19" i="4" s="1"/>
  <c r="AZ19" i="4"/>
  <c r="BD18" i="4"/>
  <c r="BC18" i="4"/>
  <c r="BB18" i="4"/>
  <c r="BA18" i="4"/>
  <c r="AZ18" i="4"/>
  <c r="BD17" i="4"/>
  <c r="BC17" i="4"/>
  <c r="BE17" i="4" s="1"/>
  <c r="BB17" i="4"/>
  <c r="BA17" i="4"/>
  <c r="AZ17" i="4"/>
  <c r="BE16" i="4"/>
  <c r="BD15" i="4"/>
  <c r="BC15" i="4"/>
  <c r="BB15" i="4"/>
  <c r="BA15" i="4"/>
  <c r="BE15" i="4" s="1"/>
  <c r="AZ15" i="4"/>
  <c r="BD14" i="4"/>
  <c r="BC14" i="4"/>
  <c r="BB14" i="4"/>
  <c r="BA14" i="4"/>
  <c r="AZ14" i="4"/>
  <c r="BD13" i="4"/>
  <c r="BC13" i="4"/>
  <c r="BE13" i="4" s="1"/>
  <c r="BB13" i="4"/>
  <c r="BA13" i="4"/>
  <c r="AZ13" i="4"/>
  <c r="BE12" i="4"/>
  <c r="BD11" i="4"/>
  <c r="BC11" i="4"/>
  <c r="BB11" i="4"/>
  <c r="BA11" i="4"/>
  <c r="BE11" i="4" s="1"/>
  <c r="AZ11" i="4"/>
  <c r="BD10" i="4"/>
  <c r="BC10" i="4"/>
  <c r="BB10" i="4"/>
  <c r="BA10" i="4"/>
  <c r="AZ10" i="4"/>
  <c r="BD9" i="4"/>
  <c r="BC9" i="4"/>
  <c r="BE9" i="4" s="1"/>
  <c r="BB9" i="4"/>
  <c r="BA9" i="4"/>
  <c r="AZ9" i="4"/>
  <c r="BD8" i="4"/>
  <c r="BC8" i="4"/>
  <c r="BB8" i="4"/>
  <c r="BA8" i="4"/>
  <c r="AZ8" i="4"/>
  <c r="BE8" i="4" s="1"/>
  <c r="BD7" i="4"/>
  <c r="BC7" i="4"/>
  <c r="BB7" i="4"/>
  <c r="BA7" i="4"/>
  <c r="BE7" i="4" s="1"/>
  <c r="AZ7" i="4"/>
  <c r="BD6" i="4"/>
  <c r="BD37" i="4" s="1"/>
  <c r="BC6" i="4"/>
  <c r="BB6" i="4"/>
  <c r="BB37" i="4" s="1"/>
  <c r="BA6" i="4"/>
  <c r="AZ6" i="4"/>
  <c r="BV37" i="4"/>
  <c r="BM37" i="4"/>
  <c r="BA37" i="4"/>
  <c r="AY37" i="4"/>
  <c r="AX37" i="4"/>
  <c r="AW37" i="4"/>
  <c r="AV37" i="4"/>
  <c r="AU37" i="4"/>
  <c r="AT37" i="4"/>
  <c r="AS37" i="4"/>
  <c r="AR37" i="4"/>
  <c r="AQ37" i="4"/>
  <c r="AP37" i="4"/>
  <c r="AO37" i="4"/>
  <c r="AN37" i="4"/>
  <c r="AM37" i="4"/>
  <c r="AL37" i="4"/>
  <c r="AK37" i="4"/>
  <c r="AJ37" i="4"/>
  <c r="AI37" i="4"/>
  <c r="AH37" i="4"/>
  <c r="AG37" i="4"/>
  <c r="AF37" i="4"/>
  <c r="AE37" i="4"/>
  <c r="AD37" i="4"/>
  <c r="AC37" i="4"/>
  <c r="AB37" i="4"/>
  <c r="BW30" i="4"/>
  <c r="BW29" i="4"/>
  <c r="BW25" i="4"/>
  <c r="BW21" i="4"/>
  <c r="BW17" i="4"/>
  <c r="BW13" i="4"/>
  <c r="BW9" i="4"/>
  <c r="BQ31" i="4"/>
  <c r="BQ30" i="4"/>
  <c r="BQ27" i="4"/>
  <c r="BQ23" i="4"/>
  <c r="BQ19" i="4"/>
  <c r="BQ15" i="4"/>
  <c r="BQ11" i="4"/>
  <c r="BQ7" i="4"/>
  <c r="BK30" i="4"/>
  <c r="BK28" i="4"/>
  <c r="BK24" i="4"/>
  <c r="BK20" i="4"/>
  <c r="BK16" i="4"/>
  <c r="BK12" i="4"/>
  <c r="BK8" i="4"/>
  <c r="BE30" i="4"/>
  <c r="BE26" i="4"/>
  <c r="BE22" i="4"/>
  <c r="BE18" i="4"/>
  <c r="BE14" i="4"/>
  <c r="BE10" i="4"/>
  <c r="AY31" i="4"/>
  <c r="AY30" i="4"/>
  <c r="AY29" i="4"/>
  <c r="AY28" i="4"/>
  <c r="AY27" i="4"/>
  <c r="AY26" i="4"/>
  <c r="AY25" i="4"/>
  <c r="AY24" i="4"/>
  <c r="AY23" i="4"/>
  <c r="AY22" i="4"/>
  <c r="AY21" i="4"/>
  <c r="AY20" i="4"/>
  <c r="AY19" i="4"/>
  <c r="AY18" i="4"/>
  <c r="AY17" i="4"/>
  <c r="AY16" i="4"/>
  <c r="AY15" i="4"/>
  <c r="AY14" i="4"/>
  <c r="AY13" i="4"/>
  <c r="AY12" i="4"/>
  <c r="AY11" i="4"/>
  <c r="AY10" i="4"/>
  <c r="AY9" i="4"/>
  <c r="AY8" i="4"/>
  <c r="AY7" i="4"/>
  <c r="AY6" i="4"/>
  <c r="AX31" i="4"/>
  <c r="AW31" i="4"/>
  <c r="AV31" i="4"/>
  <c r="AU31" i="4"/>
  <c r="AT31" i="4"/>
  <c r="AX29" i="4"/>
  <c r="AW29" i="4"/>
  <c r="AV29" i="4"/>
  <c r="AU29" i="4"/>
  <c r="AT29" i="4"/>
  <c r="AX28" i="4"/>
  <c r="AW28" i="4"/>
  <c r="AV28" i="4"/>
  <c r="AU28" i="4"/>
  <c r="AT28" i="4"/>
  <c r="AX27" i="4"/>
  <c r="AW27" i="4"/>
  <c r="AV27" i="4"/>
  <c r="AU27" i="4"/>
  <c r="AT27" i="4"/>
  <c r="AX26" i="4"/>
  <c r="AW26" i="4"/>
  <c r="AV26" i="4"/>
  <c r="AU26" i="4"/>
  <c r="AT26" i="4"/>
  <c r="AX25" i="4"/>
  <c r="AW25" i="4"/>
  <c r="AV25" i="4"/>
  <c r="AU25" i="4"/>
  <c r="AT25" i="4"/>
  <c r="AX24" i="4"/>
  <c r="AW24" i="4"/>
  <c r="AV24" i="4"/>
  <c r="AU24" i="4"/>
  <c r="AT24" i="4"/>
  <c r="AX23" i="4"/>
  <c r="AW23" i="4"/>
  <c r="AV23" i="4"/>
  <c r="AU23" i="4"/>
  <c r="AT23" i="4"/>
  <c r="AX22" i="4"/>
  <c r="AW22" i="4"/>
  <c r="AV22" i="4"/>
  <c r="AU22" i="4"/>
  <c r="AT22" i="4"/>
  <c r="AX21" i="4"/>
  <c r="AW21" i="4"/>
  <c r="AV21" i="4"/>
  <c r="AU21" i="4"/>
  <c r="AT21" i="4"/>
  <c r="AX20" i="4"/>
  <c r="AW20" i="4"/>
  <c r="AV20" i="4"/>
  <c r="AU20" i="4"/>
  <c r="AT20" i="4"/>
  <c r="AX19" i="4"/>
  <c r="AW19" i="4"/>
  <c r="AV19" i="4"/>
  <c r="AU19" i="4"/>
  <c r="AT19" i="4"/>
  <c r="AX18" i="4"/>
  <c r="AW18" i="4"/>
  <c r="AV18" i="4"/>
  <c r="AU18" i="4"/>
  <c r="AT18" i="4"/>
  <c r="AX17" i="4"/>
  <c r="AW17" i="4"/>
  <c r="AV17" i="4"/>
  <c r="AU17" i="4"/>
  <c r="AT17" i="4"/>
  <c r="AX15" i="4"/>
  <c r="AW15" i="4"/>
  <c r="AV15" i="4"/>
  <c r="AU15" i="4"/>
  <c r="AT15" i="4"/>
  <c r="AX14" i="4"/>
  <c r="AW14" i="4"/>
  <c r="AV14" i="4"/>
  <c r="AU14" i="4"/>
  <c r="AT14" i="4"/>
  <c r="AX13" i="4"/>
  <c r="AW13" i="4"/>
  <c r="AV13" i="4"/>
  <c r="AU13" i="4"/>
  <c r="AT13" i="4"/>
  <c r="AX11" i="4"/>
  <c r="AW11" i="4"/>
  <c r="AV11" i="4"/>
  <c r="AU11" i="4"/>
  <c r="AT11" i="4"/>
  <c r="AX10" i="4"/>
  <c r="AW10" i="4"/>
  <c r="AV10" i="4"/>
  <c r="AU10" i="4"/>
  <c r="AT10" i="4"/>
  <c r="AX9" i="4"/>
  <c r="AW9" i="4"/>
  <c r="AV9" i="4"/>
  <c r="AU9" i="4"/>
  <c r="AT9" i="4"/>
  <c r="AX8" i="4"/>
  <c r="AW8" i="4"/>
  <c r="AV8" i="4"/>
  <c r="AU8" i="4"/>
  <c r="AT8" i="4"/>
  <c r="AX7" i="4"/>
  <c r="AW7" i="4"/>
  <c r="AV7" i="4"/>
  <c r="AU7" i="4"/>
  <c r="AT7" i="4"/>
  <c r="AX6" i="4"/>
  <c r="AW6" i="4"/>
  <c r="AV6" i="4"/>
  <c r="AU6" i="4"/>
  <c r="AT6" i="4"/>
  <c r="AM30" i="4"/>
  <c r="AG30" i="4"/>
  <c r="AG16" i="4"/>
  <c r="AG12" i="4"/>
  <c r="AM16" i="4"/>
  <c r="AM12" i="4"/>
  <c r="AS31" i="4"/>
  <c r="AS30" i="4"/>
  <c r="AS29" i="4"/>
  <c r="AS28" i="4"/>
  <c r="AS27" i="4"/>
  <c r="AS26" i="4"/>
  <c r="AS25" i="4"/>
  <c r="AS24" i="4"/>
  <c r="AS23" i="4"/>
  <c r="AS22" i="4"/>
  <c r="AS21" i="4"/>
  <c r="AS20" i="4"/>
  <c r="AS19" i="4"/>
  <c r="AS18" i="4"/>
  <c r="AS17" i="4"/>
  <c r="AS16" i="4"/>
  <c r="AS15" i="4"/>
  <c r="AS14" i="4"/>
  <c r="AS13" i="4"/>
  <c r="AS12" i="4"/>
  <c r="AS11" i="4"/>
  <c r="AS10" i="4"/>
  <c r="AS9" i="4"/>
  <c r="AS8" i="4"/>
  <c r="AS7" i="4"/>
  <c r="AS6" i="4"/>
  <c r="AR31" i="4"/>
  <c r="AQ31" i="4"/>
  <c r="AP31" i="4"/>
  <c r="AO31" i="4"/>
  <c r="AN31" i="4"/>
  <c r="AR29" i="4"/>
  <c r="AQ29" i="4"/>
  <c r="AP29" i="4"/>
  <c r="AO29" i="4"/>
  <c r="AN29" i="4"/>
  <c r="AR28" i="4"/>
  <c r="AQ28" i="4"/>
  <c r="AP28" i="4"/>
  <c r="AO28" i="4"/>
  <c r="AN28" i="4"/>
  <c r="AR27" i="4"/>
  <c r="AQ27" i="4"/>
  <c r="AP27" i="4"/>
  <c r="AO27" i="4"/>
  <c r="AN27" i="4"/>
  <c r="AR26" i="4"/>
  <c r="AQ26" i="4"/>
  <c r="AP26" i="4"/>
  <c r="AO26" i="4"/>
  <c r="AN26" i="4"/>
  <c r="AR25" i="4"/>
  <c r="AQ25" i="4"/>
  <c r="AP25" i="4"/>
  <c r="AO25" i="4"/>
  <c r="AN25" i="4"/>
  <c r="AR24" i="4"/>
  <c r="AQ24" i="4"/>
  <c r="AP24" i="4"/>
  <c r="AO24" i="4"/>
  <c r="AN24" i="4"/>
  <c r="AR23" i="4"/>
  <c r="AQ23" i="4"/>
  <c r="AP23" i="4"/>
  <c r="AO23" i="4"/>
  <c r="AN23" i="4"/>
  <c r="AR22" i="4"/>
  <c r="AQ22" i="4"/>
  <c r="AP22" i="4"/>
  <c r="AO22" i="4"/>
  <c r="AN22" i="4"/>
  <c r="AR21" i="4"/>
  <c r="AQ21" i="4"/>
  <c r="AP21" i="4"/>
  <c r="AO21" i="4"/>
  <c r="AN21" i="4"/>
  <c r="AR20" i="4"/>
  <c r="AQ20" i="4"/>
  <c r="AP20" i="4"/>
  <c r="AO20" i="4"/>
  <c r="AN20" i="4"/>
  <c r="AR19" i="4"/>
  <c r="AQ19" i="4"/>
  <c r="AP19" i="4"/>
  <c r="AO19" i="4"/>
  <c r="AN19" i="4"/>
  <c r="AR18" i="4"/>
  <c r="AQ18" i="4"/>
  <c r="AP18" i="4"/>
  <c r="AO18" i="4"/>
  <c r="AN18" i="4"/>
  <c r="AR17" i="4"/>
  <c r="AQ17" i="4"/>
  <c r="AP17" i="4"/>
  <c r="AO17" i="4"/>
  <c r="AN17" i="4"/>
  <c r="AR15" i="4"/>
  <c r="AQ15" i="4"/>
  <c r="AP15" i="4"/>
  <c r="AO15" i="4"/>
  <c r="AN15" i="4"/>
  <c r="AR14" i="4"/>
  <c r="AQ14" i="4"/>
  <c r="AP14" i="4"/>
  <c r="AO14" i="4"/>
  <c r="AN14" i="4"/>
  <c r="AR13" i="4"/>
  <c r="AQ13" i="4"/>
  <c r="AP13" i="4"/>
  <c r="AO13" i="4"/>
  <c r="AN13" i="4"/>
  <c r="AR11" i="4"/>
  <c r="AQ11" i="4"/>
  <c r="AP11" i="4"/>
  <c r="AO11" i="4"/>
  <c r="AN11" i="4"/>
  <c r="AR10" i="4"/>
  <c r="AQ10" i="4"/>
  <c r="AP10" i="4"/>
  <c r="AO10" i="4"/>
  <c r="AN10" i="4"/>
  <c r="AR9" i="4"/>
  <c r="AQ9" i="4"/>
  <c r="AP9" i="4"/>
  <c r="AO9" i="4"/>
  <c r="AN9" i="4"/>
  <c r="AR8" i="4"/>
  <c r="AQ8" i="4"/>
  <c r="AP8" i="4"/>
  <c r="AO8" i="4"/>
  <c r="AN8" i="4"/>
  <c r="AR7" i="4"/>
  <c r="AQ7" i="4"/>
  <c r="AP7" i="4"/>
  <c r="AO7" i="4"/>
  <c r="AN7" i="4"/>
  <c r="AR6" i="4"/>
  <c r="AQ6" i="4"/>
  <c r="AP6" i="4"/>
  <c r="AO6" i="4"/>
  <c r="AN6" i="4"/>
  <c r="AM31" i="4"/>
  <c r="AM29" i="4"/>
  <c r="AM28" i="4"/>
  <c r="AM27" i="4"/>
  <c r="AM26" i="4"/>
  <c r="AM25" i="4"/>
  <c r="AM24" i="4"/>
  <c r="AM23" i="4"/>
  <c r="AM22" i="4"/>
  <c r="AM21" i="4"/>
  <c r="AM20" i="4"/>
  <c r="AM19" i="4"/>
  <c r="AM18" i="4"/>
  <c r="AM17" i="4"/>
  <c r="AM15" i="4"/>
  <c r="AM14" i="4"/>
  <c r="AM13" i="4"/>
  <c r="AM11" i="4"/>
  <c r="AM10" i="4"/>
  <c r="AM9" i="4"/>
  <c r="AM8" i="4"/>
  <c r="AM7" i="4"/>
  <c r="AM6" i="4"/>
  <c r="AL31" i="4"/>
  <c r="AK31" i="4"/>
  <c r="AJ31" i="4"/>
  <c r="AI31" i="4"/>
  <c r="AH31" i="4"/>
  <c r="AL29" i="4"/>
  <c r="AK29" i="4"/>
  <c r="AJ29" i="4"/>
  <c r="AI29" i="4"/>
  <c r="AH29" i="4"/>
  <c r="AL28" i="4"/>
  <c r="AK28" i="4"/>
  <c r="AJ28" i="4"/>
  <c r="AI28" i="4"/>
  <c r="AH28" i="4"/>
  <c r="AL27" i="4"/>
  <c r="AK27" i="4"/>
  <c r="AJ27" i="4"/>
  <c r="AI27" i="4"/>
  <c r="AH27" i="4"/>
  <c r="AL26" i="4"/>
  <c r="AK26" i="4"/>
  <c r="AJ26" i="4"/>
  <c r="AI26" i="4"/>
  <c r="AH26" i="4"/>
  <c r="AL25" i="4"/>
  <c r="AK25" i="4"/>
  <c r="AJ25" i="4"/>
  <c r="AI25" i="4"/>
  <c r="AH25" i="4"/>
  <c r="AL24" i="4"/>
  <c r="AK24" i="4"/>
  <c r="AJ24" i="4"/>
  <c r="AI24" i="4"/>
  <c r="AH24" i="4"/>
  <c r="AL23" i="4"/>
  <c r="AK23" i="4"/>
  <c r="AJ23" i="4"/>
  <c r="AI23" i="4"/>
  <c r="AH23" i="4"/>
  <c r="AL22" i="4"/>
  <c r="AK22" i="4"/>
  <c r="AJ22" i="4"/>
  <c r="AI22" i="4"/>
  <c r="AH22" i="4"/>
  <c r="AL21" i="4"/>
  <c r="AK21" i="4"/>
  <c r="AJ21" i="4"/>
  <c r="AI21" i="4"/>
  <c r="AH21" i="4"/>
  <c r="AL20" i="4"/>
  <c r="AK20" i="4"/>
  <c r="AJ20" i="4"/>
  <c r="AI20" i="4"/>
  <c r="AH20" i="4"/>
  <c r="AL19" i="4"/>
  <c r="AK19" i="4"/>
  <c r="AJ19" i="4"/>
  <c r="AI19" i="4"/>
  <c r="AH19" i="4"/>
  <c r="AL18" i="4"/>
  <c r="AK18" i="4"/>
  <c r="AJ18" i="4"/>
  <c r="AI18" i="4"/>
  <c r="AH18" i="4"/>
  <c r="AL17" i="4"/>
  <c r="AK17" i="4"/>
  <c r="AJ17" i="4"/>
  <c r="AI17" i="4"/>
  <c r="AH17" i="4"/>
  <c r="AL15" i="4"/>
  <c r="AK15" i="4"/>
  <c r="AJ15" i="4"/>
  <c r="AI15" i="4"/>
  <c r="AH15" i="4"/>
  <c r="AL14" i="4"/>
  <c r="AK14" i="4"/>
  <c r="AJ14" i="4"/>
  <c r="AI14" i="4"/>
  <c r="AH14" i="4"/>
  <c r="AL13" i="4"/>
  <c r="AK13" i="4"/>
  <c r="AJ13" i="4"/>
  <c r="AI13" i="4"/>
  <c r="AH13" i="4"/>
  <c r="AL11" i="4"/>
  <c r="AK11" i="4"/>
  <c r="AJ11" i="4"/>
  <c r="AI11" i="4"/>
  <c r="AH11" i="4"/>
  <c r="AL10" i="4"/>
  <c r="AK10" i="4"/>
  <c r="AJ10" i="4"/>
  <c r="AI10" i="4"/>
  <c r="AH10" i="4"/>
  <c r="AL9" i="4"/>
  <c r="AK9" i="4"/>
  <c r="AJ9" i="4"/>
  <c r="AI9" i="4"/>
  <c r="AH9" i="4"/>
  <c r="AL8" i="4"/>
  <c r="AK8" i="4"/>
  <c r="AJ8" i="4"/>
  <c r="AI8" i="4"/>
  <c r="AH8" i="4"/>
  <c r="AL7" i="4"/>
  <c r="AK7" i="4"/>
  <c r="AJ7" i="4"/>
  <c r="AI7" i="4"/>
  <c r="AH7" i="4"/>
  <c r="AL6" i="4"/>
  <c r="AK6" i="4"/>
  <c r="AJ6" i="4"/>
  <c r="AI6" i="4"/>
  <c r="AH6" i="4"/>
  <c r="AF31" i="4"/>
  <c r="AE31" i="4"/>
  <c r="AD31" i="4"/>
  <c r="AC31" i="4"/>
  <c r="AB31" i="4"/>
  <c r="AG31" i="4" s="1"/>
  <c r="AF29" i="4"/>
  <c r="AE29" i="4"/>
  <c r="AD29" i="4"/>
  <c r="AC29" i="4"/>
  <c r="AB29" i="4"/>
  <c r="AG29" i="4" s="1"/>
  <c r="AF28" i="4"/>
  <c r="AE28" i="4"/>
  <c r="AD28" i="4"/>
  <c r="AC28" i="4"/>
  <c r="AB28" i="4"/>
  <c r="AG28" i="4" s="1"/>
  <c r="AF27" i="4"/>
  <c r="AE27" i="4"/>
  <c r="AD27" i="4"/>
  <c r="AC27" i="4"/>
  <c r="AB27" i="4"/>
  <c r="AG27" i="4" s="1"/>
  <c r="AF26" i="4"/>
  <c r="AE26" i="4"/>
  <c r="AD26" i="4"/>
  <c r="AC26" i="4"/>
  <c r="AB26" i="4"/>
  <c r="AG26" i="4" s="1"/>
  <c r="AF25" i="4"/>
  <c r="AE25" i="4"/>
  <c r="AD25" i="4"/>
  <c r="AC25" i="4"/>
  <c r="AB25" i="4"/>
  <c r="AG25" i="4" s="1"/>
  <c r="AF24" i="4"/>
  <c r="AE24" i="4"/>
  <c r="AD24" i="4"/>
  <c r="AC24" i="4"/>
  <c r="AB24" i="4"/>
  <c r="AG24" i="4" s="1"/>
  <c r="AF23" i="4"/>
  <c r="AE23" i="4"/>
  <c r="AD23" i="4"/>
  <c r="AC23" i="4"/>
  <c r="AB23" i="4"/>
  <c r="AG23" i="4" s="1"/>
  <c r="AF22" i="4"/>
  <c r="AE22" i="4"/>
  <c r="AD22" i="4"/>
  <c r="AC22" i="4"/>
  <c r="AB22" i="4"/>
  <c r="AG22" i="4" s="1"/>
  <c r="AF21" i="4"/>
  <c r="AE21" i="4"/>
  <c r="AD21" i="4"/>
  <c r="AC21" i="4"/>
  <c r="AB21" i="4"/>
  <c r="AG21" i="4" s="1"/>
  <c r="AF20" i="4"/>
  <c r="AE20" i="4"/>
  <c r="AD20" i="4"/>
  <c r="AC20" i="4"/>
  <c r="AB20" i="4"/>
  <c r="AG20" i="4" s="1"/>
  <c r="AF19" i="4"/>
  <c r="AE19" i="4"/>
  <c r="AD19" i="4"/>
  <c r="AC19" i="4"/>
  <c r="AB19" i="4"/>
  <c r="AG19" i="4" s="1"/>
  <c r="AF18" i="4"/>
  <c r="AE18" i="4"/>
  <c r="AD18" i="4"/>
  <c r="AC18" i="4"/>
  <c r="AB18" i="4"/>
  <c r="AG18" i="4" s="1"/>
  <c r="AF17" i="4"/>
  <c r="AE17" i="4"/>
  <c r="AD17" i="4"/>
  <c r="AC17" i="4"/>
  <c r="AB17" i="4"/>
  <c r="AG17" i="4" s="1"/>
  <c r="AF15" i="4"/>
  <c r="AE15" i="4"/>
  <c r="AD15" i="4"/>
  <c r="AC15" i="4"/>
  <c r="AB15" i="4"/>
  <c r="AG15" i="4" s="1"/>
  <c r="AF14" i="4"/>
  <c r="AE14" i="4"/>
  <c r="AD14" i="4"/>
  <c r="AC14" i="4"/>
  <c r="AB14" i="4"/>
  <c r="AG14" i="4" s="1"/>
  <c r="AF13" i="4"/>
  <c r="AE13" i="4"/>
  <c r="AD13" i="4"/>
  <c r="AC13" i="4"/>
  <c r="AB13" i="4"/>
  <c r="AG13" i="4" s="1"/>
  <c r="AF11" i="4"/>
  <c r="AE11" i="4"/>
  <c r="AD11" i="4"/>
  <c r="AC11" i="4"/>
  <c r="AB11" i="4"/>
  <c r="AG11" i="4" s="1"/>
  <c r="AF10" i="4"/>
  <c r="AE10" i="4"/>
  <c r="AD10" i="4"/>
  <c r="AC10" i="4"/>
  <c r="AB10" i="4"/>
  <c r="AG10" i="4" s="1"/>
  <c r="AF9" i="4"/>
  <c r="AE9" i="4"/>
  <c r="AD9" i="4"/>
  <c r="AC9" i="4"/>
  <c r="AB9" i="4"/>
  <c r="AG9" i="4" s="1"/>
  <c r="AF8" i="4"/>
  <c r="AE8" i="4"/>
  <c r="AD8" i="4"/>
  <c r="AC8" i="4"/>
  <c r="AB8" i="4"/>
  <c r="AG8" i="4" s="1"/>
  <c r="AF7" i="4"/>
  <c r="AE7" i="4"/>
  <c r="AD7" i="4"/>
  <c r="AC7" i="4"/>
  <c r="AB7" i="4"/>
  <c r="AG7" i="4" s="1"/>
  <c r="AG6" i="4"/>
  <c r="AF6" i="4"/>
  <c r="AE6" i="4"/>
  <c r="AD6" i="4"/>
  <c r="AC6" i="4"/>
  <c r="AB6" i="4"/>
  <c r="CO31" i="4"/>
  <c r="CN31" i="4"/>
  <c r="CM31" i="4"/>
  <c r="CL31" i="4"/>
  <c r="CK31" i="4"/>
  <c r="CJ31" i="4"/>
  <c r="CI31" i="4"/>
  <c r="CH31" i="4"/>
  <c r="CO29" i="4"/>
  <c r="CN29" i="4"/>
  <c r="CM29" i="4"/>
  <c r="CL29" i="4"/>
  <c r="CK29" i="4"/>
  <c r="CJ29" i="4"/>
  <c r="CI29" i="4"/>
  <c r="CH29" i="4"/>
  <c r="CO28" i="4"/>
  <c r="CN28" i="4"/>
  <c r="CM28" i="4"/>
  <c r="CL28" i="4"/>
  <c r="CK28" i="4"/>
  <c r="CJ28" i="4"/>
  <c r="CI28" i="4"/>
  <c r="CH28" i="4"/>
  <c r="CO27" i="4"/>
  <c r="CN27" i="4"/>
  <c r="CM27" i="4"/>
  <c r="CL27" i="4"/>
  <c r="CK27" i="4"/>
  <c r="CJ27" i="4"/>
  <c r="CI27" i="4"/>
  <c r="CH27" i="4"/>
  <c r="CO26" i="4"/>
  <c r="CN26" i="4"/>
  <c r="CM26" i="4"/>
  <c r="CL26" i="4"/>
  <c r="CK26" i="4"/>
  <c r="CJ26" i="4"/>
  <c r="CI26" i="4"/>
  <c r="CH26" i="4"/>
  <c r="CO25" i="4"/>
  <c r="CN25" i="4"/>
  <c r="CM25" i="4"/>
  <c r="CL25" i="4"/>
  <c r="CK25" i="4"/>
  <c r="CJ25" i="4"/>
  <c r="CI25" i="4"/>
  <c r="CH25" i="4"/>
  <c r="CO24" i="4"/>
  <c r="CN24" i="4"/>
  <c r="CM24" i="4"/>
  <c r="CL24" i="4"/>
  <c r="CK24" i="4"/>
  <c r="CJ24" i="4"/>
  <c r="CI24" i="4"/>
  <c r="CH24" i="4"/>
  <c r="CO23" i="4"/>
  <c r="CN23" i="4"/>
  <c r="CM23" i="4"/>
  <c r="CL23" i="4"/>
  <c r="CK23" i="4"/>
  <c r="CJ23" i="4"/>
  <c r="CI23" i="4"/>
  <c r="CH23" i="4"/>
  <c r="CO22" i="4"/>
  <c r="CN22" i="4"/>
  <c r="CM22" i="4"/>
  <c r="CL22" i="4"/>
  <c r="CK22" i="4"/>
  <c r="CJ22" i="4"/>
  <c r="CI22" i="4"/>
  <c r="CH22" i="4"/>
  <c r="CO21" i="4"/>
  <c r="CN21" i="4"/>
  <c r="CM21" i="4"/>
  <c r="CL21" i="4"/>
  <c r="CK21" i="4"/>
  <c r="CJ21" i="4"/>
  <c r="CI21" i="4"/>
  <c r="CH21" i="4"/>
  <c r="CO20" i="4"/>
  <c r="CN20" i="4"/>
  <c r="CM20" i="4"/>
  <c r="CL20" i="4"/>
  <c r="CK20" i="4"/>
  <c r="CJ20" i="4"/>
  <c r="CI20" i="4"/>
  <c r="CH20" i="4"/>
  <c r="CO19" i="4"/>
  <c r="CN19" i="4"/>
  <c r="CM19" i="4"/>
  <c r="CL19" i="4"/>
  <c r="CK19" i="4"/>
  <c r="CJ19" i="4"/>
  <c r="CI19" i="4"/>
  <c r="CH19" i="4"/>
  <c r="CO18" i="4"/>
  <c r="CN18" i="4"/>
  <c r="CM18" i="4"/>
  <c r="CL18" i="4"/>
  <c r="CK18" i="4"/>
  <c r="CJ18" i="4"/>
  <c r="CI18" i="4"/>
  <c r="CH18" i="4"/>
  <c r="CO17" i="4"/>
  <c r="CN17" i="4"/>
  <c r="CM17" i="4"/>
  <c r="CL17" i="4"/>
  <c r="CK17" i="4"/>
  <c r="CJ17" i="4"/>
  <c r="CI17" i="4"/>
  <c r="CH17" i="4"/>
  <c r="CO15" i="4"/>
  <c r="CN15" i="4"/>
  <c r="CM15" i="4"/>
  <c r="CL15" i="4"/>
  <c r="CK15" i="4"/>
  <c r="CJ15" i="4"/>
  <c r="CI15" i="4"/>
  <c r="CH15" i="4"/>
  <c r="CO14" i="4"/>
  <c r="CN14" i="4"/>
  <c r="CM14" i="4"/>
  <c r="CL14" i="4"/>
  <c r="CK14" i="4"/>
  <c r="CJ14" i="4"/>
  <c r="CI14" i="4"/>
  <c r="CH14" i="4"/>
  <c r="CO13" i="4"/>
  <c r="CN13" i="4"/>
  <c r="CM13" i="4"/>
  <c r="CL13" i="4"/>
  <c r="CK13" i="4"/>
  <c r="CJ13" i="4"/>
  <c r="CI13" i="4"/>
  <c r="CH13" i="4"/>
  <c r="CO11" i="4"/>
  <c r="CN11" i="4"/>
  <c r="CM11" i="4"/>
  <c r="CL11" i="4"/>
  <c r="CK11" i="4"/>
  <c r="CJ11" i="4"/>
  <c r="CI11" i="4"/>
  <c r="CH11" i="4"/>
  <c r="CO10" i="4"/>
  <c r="CN10" i="4"/>
  <c r="CM10" i="4"/>
  <c r="CL10" i="4"/>
  <c r="CK10" i="4"/>
  <c r="CJ10" i="4"/>
  <c r="CI10" i="4"/>
  <c r="CH10" i="4"/>
  <c r="CO9" i="4"/>
  <c r="CN9" i="4"/>
  <c r="CM9" i="4"/>
  <c r="CL9" i="4"/>
  <c r="CK9" i="4"/>
  <c r="CJ9" i="4"/>
  <c r="CI9" i="4"/>
  <c r="CH9" i="4"/>
  <c r="CO8" i="4"/>
  <c r="CN8" i="4"/>
  <c r="CM8" i="4"/>
  <c r="CL8" i="4"/>
  <c r="CK8" i="4"/>
  <c r="CJ8" i="4"/>
  <c r="CI8" i="4"/>
  <c r="CH8" i="4"/>
  <c r="CO7" i="4"/>
  <c r="CN7" i="4"/>
  <c r="CM7" i="4"/>
  <c r="CL7" i="4"/>
  <c r="CK7" i="4"/>
  <c r="CJ7" i="4"/>
  <c r="CI7" i="4"/>
  <c r="CH7" i="4"/>
  <c r="CO6" i="4"/>
  <c r="CN6" i="4"/>
  <c r="CM6" i="4"/>
  <c r="CL6" i="4"/>
  <c r="CK6" i="4"/>
  <c r="CJ6" i="4"/>
  <c r="CI6" i="4"/>
  <c r="CH6" i="4"/>
  <c r="CF31" i="4"/>
  <c r="CE31" i="4"/>
  <c r="CD31" i="4"/>
  <c r="CC31" i="4"/>
  <c r="CB31" i="4"/>
  <c r="CA31" i="4"/>
  <c r="BZ31" i="4"/>
  <c r="BY31" i="4"/>
  <c r="CF29" i="4"/>
  <c r="CE29" i="4"/>
  <c r="CD29" i="4"/>
  <c r="CC29" i="4"/>
  <c r="CB29" i="4"/>
  <c r="CA29" i="4"/>
  <c r="BZ29" i="4"/>
  <c r="BY29" i="4"/>
  <c r="CF28" i="4"/>
  <c r="CE28" i="4"/>
  <c r="CD28" i="4"/>
  <c r="CC28" i="4"/>
  <c r="CB28" i="4"/>
  <c r="CA28" i="4"/>
  <c r="BZ28" i="4"/>
  <c r="BY28" i="4"/>
  <c r="CF27" i="4"/>
  <c r="CE27" i="4"/>
  <c r="CD27" i="4"/>
  <c r="CC27" i="4"/>
  <c r="CB27" i="4"/>
  <c r="CA27" i="4"/>
  <c r="BZ27" i="4"/>
  <c r="BY27" i="4"/>
  <c r="CF26" i="4"/>
  <c r="CE26" i="4"/>
  <c r="CD26" i="4"/>
  <c r="CC26" i="4"/>
  <c r="CB26" i="4"/>
  <c r="CA26" i="4"/>
  <c r="BZ26" i="4"/>
  <c r="BY26" i="4"/>
  <c r="CF25" i="4"/>
  <c r="CE25" i="4"/>
  <c r="CD25" i="4"/>
  <c r="CC25" i="4"/>
  <c r="CB25" i="4"/>
  <c r="CA25" i="4"/>
  <c r="BZ25" i="4"/>
  <c r="BY25" i="4"/>
  <c r="CF24" i="4"/>
  <c r="CE24" i="4"/>
  <c r="CD24" i="4"/>
  <c r="CC24" i="4"/>
  <c r="CB24" i="4"/>
  <c r="CA24" i="4"/>
  <c r="BZ24" i="4"/>
  <c r="BY24" i="4"/>
  <c r="CF23" i="4"/>
  <c r="CE23" i="4"/>
  <c r="CD23" i="4"/>
  <c r="CC23" i="4"/>
  <c r="CB23" i="4"/>
  <c r="CA23" i="4"/>
  <c r="BZ23" i="4"/>
  <c r="BY23" i="4"/>
  <c r="CF22" i="4"/>
  <c r="CE22" i="4"/>
  <c r="CD22" i="4"/>
  <c r="CC22" i="4"/>
  <c r="CB22" i="4"/>
  <c r="CA22" i="4"/>
  <c r="BZ22" i="4"/>
  <c r="BY22" i="4"/>
  <c r="CF21" i="4"/>
  <c r="CE21" i="4"/>
  <c r="CD21" i="4"/>
  <c r="CC21" i="4"/>
  <c r="CB21" i="4"/>
  <c r="CA21" i="4"/>
  <c r="BZ21" i="4"/>
  <c r="BY21" i="4"/>
  <c r="CF20" i="4"/>
  <c r="CE20" i="4"/>
  <c r="CD20" i="4"/>
  <c r="CC20" i="4"/>
  <c r="CB20" i="4"/>
  <c r="CA20" i="4"/>
  <c r="BZ20" i="4"/>
  <c r="BY20" i="4"/>
  <c r="CF19" i="4"/>
  <c r="CE19" i="4"/>
  <c r="CD19" i="4"/>
  <c r="CC19" i="4"/>
  <c r="CB19" i="4"/>
  <c r="CA19" i="4"/>
  <c r="BZ19" i="4"/>
  <c r="BY19" i="4"/>
  <c r="CF18" i="4"/>
  <c r="CE18" i="4"/>
  <c r="CD18" i="4"/>
  <c r="CC18" i="4"/>
  <c r="CB18" i="4"/>
  <c r="CA18" i="4"/>
  <c r="BZ18" i="4"/>
  <c r="BY18" i="4"/>
  <c r="CF17" i="4"/>
  <c r="CE17" i="4"/>
  <c r="CD17" i="4"/>
  <c r="CC17" i="4"/>
  <c r="CB17" i="4"/>
  <c r="CA17" i="4"/>
  <c r="BZ17" i="4"/>
  <c r="BY17" i="4"/>
  <c r="CF15" i="4"/>
  <c r="CE15" i="4"/>
  <c r="CD15" i="4"/>
  <c r="CC15" i="4"/>
  <c r="CB15" i="4"/>
  <c r="CA15" i="4"/>
  <c r="BZ15" i="4"/>
  <c r="BY15" i="4"/>
  <c r="CF14" i="4"/>
  <c r="CE14" i="4"/>
  <c r="CD14" i="4"/>
  <c r="CC14" i="4"/>
  <c r="CB14" i="4"/>
  <c r="CA14" i="4"/>
  <c r="BZ14" i="4"/>
  <c r="BY14" i="4"/>
  <c r="CF13" i="4"/>
  <c r="CE13" i="4"/>
  <c r="CD13" i="4"/>
  <c r="CC13" i="4"/>
  <c r="CB13" i="4"/>
  <c r="CA13" i="4"/>
  <c r="BZ13" i="4"/>
  <c r="BY13" i="4"/>
  <c r="CF11" i="4"/>
  <c r="CE11" i="4"/>
  <c r="CD11" i="4"/>
  <c r="CC11" i="4"/>
  <c r="CB11" i="4"/>
  <c r="CA11" i="4"/>
  <c r="BZ11" i="4"/>
  <c r="BY11" i="4"/>
  <c r="CF10" i="4"/>
  <c r="CE10" i="4"/>
  <c r="CD10" i="4"/>
  <c r="CC10" i="4"/>
  <c r="CB10" i="4"/>
  <c r="CA10" i="4"/>
  <c r="BZ10" i="4"/>
  <c r="BY10" i="4"/>
  <c r="CF9" i="4"/>
  <c r="CE9" i="4"/>
  <c r="CD9" i="4"/>
  <c r="CC9" i="4"/>
  <c r="CB9" i="4"/>
  <c r="CA9" i="4"/>
  <c r="BZ9" i="4"/>
  <c r="BY9" i="4"/>
  <c r="CF8" i="4"/>
  <c r="CE8" i="4"/>
  <c r="CD8" i="4"/>
  <c r="CC8" i="4"/>
  <c r="CB8" i="4"/>
  <c r="CA8" i="4"/>
  <c r="BZ8" i="4"/>
  <c r="BY8" i="4"/>
  <c r="CF7" i="4"/>
  <c r="CE7" i="4"/>
  <c r="CD7" i="4"/>
  <c r="CC7" i="4"/>
  <c r="CB7" i="4"/>
  <c r="CA7" i="4"/>
  <c r="BZ7" i="4"/>
  <c r="BY7" i="4"/>
  <c r="CF6" i="4"/>
  <c r="CE6" i="4"/>
  <c r="CD6" i="4"/>
  <c r="CC6" i="4"/>
  <c r="CB6" i="4"/>
  <c r="CA6" i="4"/>
  <c r="BZ6" i="4"/>
  <c r="BY6" i="4"/>
  <c r="Z31" i="4"/>
  <c r="Y31" i="4"/>
  <c r="X31" i="4"/>
  <c r="W31" i="4"/>
  <c r="V31" i="4"/>
  <c r="U31" i="4"/>
  <c r="T31" i="4"/>
  <c r="S31" i="4"/>
  <c r="Z29" i="4"/>
  <c r="Y29" i="4"/>
  <c r="X29" i="4"/>
  <c r="W29" i="4"/>
  <c r="V29" i="4"/>
  <c r="U29" i="4"/>
  <c r="T29" i="4"/>
  <c r="S29" i="4"/>
  <c r="Z28" i="4"/>
  <c r="Y28" i="4"/>
  <c r="X28" i="4"/>
  <c r="W28" i="4"/>
  <c r="V28" i="4"/>
  <c r="U28" i="4"/>
  <c r="T28" i="4"/>
  <c r="S28" i="4"/>
  <c r="Z27" i="4"/>
  <c r="Y27" i="4"/>
  <c r="X27" i="4"/>
  <c r="W27" i="4"/>
  <c r="V27" i="4"/>
  <c r="U27" i="4"/>
  <c r="T27" i="4"/>
  <c r="S27" i="4"/>
  <c r="Z26" i="4"/>
  <c r="Y26" i="4"/>
  <c r="X26" i="4"/>
  <c r="W26" i="4"/>
  <c r="V26" i="4"/>
  <c r="U26" i="4"/>
  <c r="T26" i="4"/>
  <c r="S26" i="4"/>
  <c r="Z25" i="4"/>
  <c r="Y25" i="4"/>
  <c r="X25" i="4"/>
  <c r="W25" i="4"/>
  <c r="V25" i="4"/>
  <c r="U25" i="4"/>
  <c r="T25" i="4"/>
  <c r="S25" i="4"/>
  <c r="Z24" i="4"/>
  <c r="Y24" i="4"/>
  <c r="X24" i="4"/>
  <c r="W24" i="4"/>
  <c r="V24" i="4"/>
  <c r="U24" i="4"/>
  <c r="T24" i="4"/>
  <c r="S24" i="4"/>
  <c r="Z23" i="4"/>
  <c r="Y23" i="4"/>
  <c r="X23" i="4"/>
  <c r="W23" i="4"/>
  <c r="V23" i="4"/>
  <c r="U23" i="4"/>
  <c r="T23" i="4"/>
  <c r="S23" i="4"/>
  <c r="Z22" i="4"/>
  <c r="Y22" i="4"/>
  <c r="X22" i="4"/>
  <c r="W22" i="4"/>
  <c r="V22" i="4"/>
  <c r="U22" i="4"/>
  <c r="T22" i="4"/>
  <c r="S22" i="4"/>
  <c r="Z21" i="4"/>
  <c r="Y21" i="4"/>
  <c r="X21" i="4"/>
  <c r="W21" i="4"/>
  <c r="V21" i="4"/>
  <c r="U21" i="4"/>
  <c r="T21" i="4"/>
  <c r="S21" i="4"/>
  <c r="Z20" i="4"/>
  <c r="Y20" i="4"/>
  <c r="X20" i="4"/>
  <c r="W20" i="4"/>
  <c r="V20" i="4"/>
  <c r="U20" i="4"/>
  <c r="T20" i="4"/>
  <c r="S20" i="4"/>
  <c r="Z19" i="4"/>
  <c r="Y19" i="4"/>
  <c r="X19" i="4"/>
  <c r="W19" i="4"/>
  <c r="V19" i="4"/>
  <c r="U19" i="4"/>
  <c r="T19" i="4"/>
  <c r="S19" i="4"/>
  <c r="Z18" i="4"/>
  <c r="Y18" i="4"/>
  <c r="X18" i="4"/>
  <c r="W18" i="4"/>
  <c r="V18" i="4"/>
  <c r="U18" i="4"/>
  <c r="T18" i="4"/>
  <c r="S18" i="4"/>
  <c r="Z17" i="4"/>
  <c r="Y17" i="4"/>
  <c r="X17" i="4"/>
  <c r="W17" i="4"/>
  <c r="V17" i="4"/>
  <c r="U17" i="4"/>
  <c r="T17" i="4"/>
  <c r="S17" i="4"/>
  <c r="Z15" i="4"/>
  <c r="Y15" i="4"/>
  <c r="X15" i="4"/>
  <c r="W15" i="4"/>
  <c r="V15" i="4"/>
  <c r="U15" i="4"/>
  <c r="T15" i="4"/>
  <c r="S15" i="4"/>
  <c r="Z14" i="4"/>
  <c r="Y14" i="4"/>
  <c r="X14" i="4"/>
  <c r="W14" i="4"/>
  <c r="V14" i="4"/>
  <c r="U14" i="4"/>
  <c r="T14" i="4"/>
  <c r="S14" i="4"/>
  <c r="Z13" i="4"/>
  <c r="Y13" i="4"/>
  <c r="X13" i="4"/>
  <c r="W13" i="4"/>
  <c r="V13" i="4"/>
  <c r="U13" i="4"/>
  <c r="T13" i="4"/>
  <c r="S13" i="4"/>
  <c r="Z11" i="4"/>
  <c r="Y11" i="4"/>
  <c r="X11" i="4"/>
  <c r="W11" i="4"/>
  <c r="V11" i="4"/>
  <c r="U11" i="4"/>
  <c r="T11" i="4"/>
  <c r="S11" i="4"/>
  <c r="Z10" i="4"/>
  <c r="Y10" i="4"/>
  <c r="X10" i="4"/>
  <c r="W10" i="4"/>
  <c r="V10" i="4"/>
  <c r="U10" i="4"/>
  <c r="T10" i="4"/>
  <c r="S10" i="4"/>
  <c r="Z9" i="4"/>
  <c r="Y9" i="4"/>
  <c r="X9" i="4"/>
  <c r="W9" i="4"/>
  <c r="V9" i="4"/>
  <c r="U9" i="4"/>
  <c r="T9" i="4"/>
  <c r="S9" i="4"/>
  <c r="Z8" i="4"/>
  <c r="Y8" i="4"/>
  <c r="X8" i="4"/>
  <c r="W8" i="4"/>
  <c r="V8" i="4"/>
  <c r="U8" i="4"/>
  <c r="T8" i="4"/>
  <c r="S8" i="4"/>
  <c r="Z7" i="4"/>
  <c r="Y7" i="4"/>
  <c r="X7" i="4"/>
  <c r="W7" i="4"/>
  <c r="V7" i="4"/>
  <c r="U7" i="4"/>
  <c r="T7" i="4"/>
  <c r="S7" i="4"/>
  <c r="Z6" i="4"/>
  <c r="Y6" i="4"/>
  <c r="X6" i="4"/>
  <c r="W6" i="4"/>
  <c r="V6" i="4"/>
  <c r="U6" i="4"/>
  <c r="T6" i="4"/>
  <c r="S6" i="4"/>
  <c r="U37" i="13" l="1"/>
  <c r="S37" i="13"/>
  <c r="BC37" i="13"/>
  <c r="BD37" i="55"/>
  <c r="BM13" i="55"/>
  <c r="BM37" i="55" s="1"/>
  <c r="BE37" i="15"/>
  <c r="BI37" i="15"/>
  <c r="BG8" i="15"/>
  <c r="BG37" i="15" s="1"/>
  <c r="BF37" i="15"/>
  <c r="BD8" i="15"/>
  <c r="BD37" i="15" s="1"/>
  <c r="BC37" i="55"/>
  <c r="BC37" i="15"/>
  <c r="CR37" i="9"/>
  <c r="CS6" i="9"/>
  <c r="CS37" i="9" s="1"/>
  <c r="AS37" i="9"/>
  <c r="CX6" i="9"/>
  <c r="CX37" i="9" s="1"/>
  <c r="CQ6" i="9"/>
  <c r="CQ37" i="9" s="1"/>
  <c r="CQ37" i="8"/>
  <c r="CS37" i="8"/>
  <c r="CW37" i="8"/>
  <c r="CX6" i="8"/>
  <c r="CX37" i="8" s="1"/>
  <c r="BW37" i="8"/>
  <c r="CV6" i="8"/>
  <c r="CV37" i="8" s="1"/>
  <c r="BK37" i="8"/>
  <c r="CU6" i="8"/>
  <c r="CU37" i="8" s="1"/>
  <c r="CR6" i="8"/>
  <c r="CR37" i="8" s="1"/>
  <c r="AM37" i="8"/>
  <c r="AS37" i="15"/>
  <c r="AE37" i="15"/>
  <c r="R37" i="15"/>
  <c r="BI37" i="5"/>
  <c r="AV37" i="5"/>
  <c r="BA37" i="5"/>
  <c r="BT37" i="5"/>
  <c r="AH37" i="5"/>
  <c r="AL37" i="5"/>
  <c r="BE8" i="5"/>
  <c r="CU8" i="5" s="1"/>
  <c r="BF37" i="5"/>
  <c r="BJ37" i="5"/>
  <c r="AM9" i="5"/>
  <c r="BK9" i="5"/>
  <c r="CV9" i="5" s="1"/>
  <c r="DA9" i="5" s="1"/>
  <c r="DB9" i="5" s="1"/>
  <c r="AM11" i="5"/>
  <c r="CR11" i="5" s="1"/>
  <c r="BK11" i="5"/>
  <c r="AM12" i="5"/>
  <c r="BE12" i="5"/>
  <c r="BK12" i="5"/>
  <c r="AM13" i="5"/>
  <c r="BK13" i="5"/>
  <c r="AM15" i="5"/>
  <c r="CR15" i="5" s="1"/>
  <c r="BK15" i="5"/>
  <c r="CV15" i="5" s="1"/>
  <c r="AK37" i="5"/>
  <c r="BD37" i="5"/>
  <c r="AP37" i="5"/>
  <c r="AM6" i="5"/>
  <c r="CR6" i="5" s="1"/>
  <c r="AR37" i="5"/>
  <c r="AW37" i="5"/>
  <c r="BP37" i="5"/>
  <c r="BU37" i="5"/>
  <c r="BB37" i="5"/>
  <c r="AS9" i="5"/>
  <c r="CS9" i="5" s="1"/>
  <c r="BQ9" i="5"/>
  <c r="CW9" i="5" s="1"/>
  <c r="AM10" i="5"/>
  <c r="CR10" i="5" s="1"/>
  <c r="AS10" i="5"/>
  <c r="CS10" i="5" s="1"/>
  <c r="BK10" i="5"/>
  <c r="BQ10" i="5"/>
  <c r="CW10" i="5" s="1"/>
  <c r="AS11" i="5"/>
  <c r="CS11" i="5" s="1"/>
  <c r="BQ11" i="5"/>
  <c r="CW11" i="5" s="1"/>
  <c r="AS13" i="5"/>
  <c r="CS13" i="5" s="1"/>
  <c r="BQ13" i="5"/>
  <c r="CW13" i="5" s="1"/>
  <c r="AM14" i="5"/>
  <c r="CR14" i="5" s="1"/>
  <c r="AS14" i="5"/>
  <c r="CS14" i="5" s="1"/>
  <c r="BK14" i="5"/>
  <c r="BQ14" i="5"/>
  <c r="CW14" i="5" s="1"/>
  <c r="AS15" i="5"/>
  <c r="CS15" i="5" s="1"/>
  <c r="BQ15" i="5"/>
  <c r="CW15" i="5" s="1"/>
  <c r="BN37" i="5"/>
  <c r="AJ37" i="5"/>
  <c r="AO37" i="5"/>
  <c r="AY7" i="5"/>
  <c r="CT7" i="5" s="1"/>
  <c r="BH37" i="5"/>
  <c r="BM37" i="5"/>
  <c r="BW7" i="5"/>
  <c r="CX7" i="5" s="1"/>
  <c r="AS8" i="5"/>
  <c r="AT37" i="5"/>
  <c r="AX37" i="5"/>
  <c r="BQ8" i="5"/>
  <c r="BR37" i="5"/>
  <c r="BV37" i="5"/>
  <c r="AY9" i="5"/>
  <c r="CT9" i="5" s="1"/>
  <c r="BW9" i="5"/>
  <c r="CX9" i="5" s="1"/>
  <c r="AY11" i="5"/>
  <c r="CT11" i="5" s="1"/>
  <c r="BW11" i="5"/>
  <c r="CX11" i="5" s="1"/>
  <c r="AS12" i="5"/>
  <c r="CS12" i="5" s="1"/>
  <c r="AY12" i="5"/>
  <c r="CT12" i="5" s="1"/>
  <c r="BQ12" i="5"/>
  <c r="CW12" i="5" s="1"/>
  <c r="BW12" i="5"/>
  <c r="CX12" i="5" s="1"/>
  <c r="AY13" i="5"/>
  <c r="CT13" i="5" s="1"/>
  <c r="BW13" i="5"/>
  <c r="CX13" i="5" s="1"/>
  <c r="AY15" i="5"/>
  <c r="CT15" i="5" s="1"/>
  <c r="BW15" i="5"/>
  <c r="CX15" i="5" s="1"/>
  <c r="CS8" i="5"/>
  <c r="CW8" i="5"/>
  <c r="CT6" i="5"/>
  <c r="CX6" i="5"/>
  <c r="BE7" i="5"/>
  <c r="AZ37" i="5"/>
  <c r="BS37" i="5"/>
  <c r="BQ6" i="5"/>
  <c r="AM7" i="5"/>
  <c r="CR7" i="5" s="1"/>
  <c r="BK7" i="5"/>
  <c r="CV7" i="5" s="1"/>
  <c r="BK6" i="5"/>
  <c r="AS7" i="5"/>
  <c r="CS7" i="5" s="1"/>
  <c r="AN37" i="5"/>
  <c r="BQ7" i="5"/>
  <c r="CW7" i="5" s="1"/>
  <c r="BL37" i="5"/>
  <c r="AS6" i="5"/>
  <c r="CQ7" i="5"/>
  <c r="CU7" i="5"/>
  <c r="CQ8" i="5"/>
  <c r="CU9" i="5"/>
  <c r="CU10" i="5"/>
  <c r="DC10" i="5" s="1"/>
  <c r="DD10" i="5" s="1"/>
  <c r="CQ11" i="5"/>
  <c r="CU11" i="5"/>
  <c r="CQ12" i="5"/>
  <c r="CU12" i="5"/>
  <c r="CU13" i="5"/>
  <c r="CU14" i="5"/>
  <c r="CQ15" i="5"/>
  <c r="CU15" i="5"/>
  <c r="AM8" i="5"/>
  <c r="AY8" i="5"/>
  <c r="CT8" i="5" s="1"/>
  <c r="BK8" i="5"/>
  <c r="CV8" i="5" s="1"/>
  <c r="BW8" i="5"/>
  <c r="CX8" i="5" s="1"/>
  <c r="CR8" i="5"/>
  <c r="CR9" i="5"/>
  <c r="CV10" i="5"/>
  <c r="CV11" i="5"/>
  <c r="DC11" i="5" s="1"/>
  <c r="DD11" i="5" s="1"/>
  <c r="CR12" i="5"/>
  <c r="CV12" i="5"/>
  <c r="CR13" i="5"/>
  <c r="CV13" i="5"/>
  <c r="CV14" i="5"/>
  <c r="CQ6" i="5"/>
  <c r="CU6" i="5"/>
  <c r="BS37" i="4"/>
  <c r="BR37" i="4"/>
  <c r="BW6" i="4"/>
  <c r="BW37" i="4" s="1"/>
  <c r="BL37" i="4"/>
  <c r="BQ6" i="4"/>
  <c r="BQ37" i="4" s="1"/>
  <c r="BK9" i="4"/>
  <c r="BG37" i="4"/>
  <c r="BK6" i="4"/>
  <c r="BK37" i="4" s="1"/>
  <c r="BF37" i="4"/>
  <c r="BC37" i="4"/>
  <c r="AZ37" i="4"/>
  <c r="BE6" i="4"/>
  <c r="BE37" i="4" s="1"/>
  <c r="DC7" i="5" l="1"/>
  <c r="DD7" i="5" s="1"/>
  <c r="DC14" i="5"/>
  <c r="DD14" i="5" s="1"/>
  <c r="DA13" i="5"/>
  <c r="DB13" i="5" s="1"/>
  <c r="DA14" i="5"/>
  <c r="DB14" i="5" s="1"/>
  <c r="DA15" i="5"/>
  <c r="DB15" i="5" s="1"/>
  <c r="DC12" i="5"/>
  <c r="DD12" i="5" s="1"/>
  <c r="DA10" i="5"/>
  <c r="DB10" i="5" s="1"/>
  <c r="DA12" i="5"/>
  <c r="DB12" i="5" s="1"/>
  <c r="DC8" i="5"/>
  <c r="DD8" i="5" s="1"/>
  <c r="DA8" i="5"/>
  <c r="DB8" i="5" s="1"/>
  <c r="DC13" i="5"/>
  <c r="DD13" i="5" s="1"/>
  <c r="DC9" i="5"/>
  <c r="DD9" i="5" s="1"/>
  <c r="DC15" i="5"/>
  <c r="DD15" i="5" s="1"/>
  <c r="DA11" i="5"/>
  <c r="DB11" i="5" s="1"/>
  <c r="CV6" i="5"/>
  <c r="CS6" i="5"/>
  <c r="DA7" i="5"/>
  <c r="DB7" i="5" s="1"/>
  <c r="CW6" i="5"/>
  <c r="DA6" i="5" l="1"/>
  <c r="DC6" i="5"/>
  <c r="DD6" i="5" s="1"/>
  <c r="DB6" i="5"/>
  <c r="CX31" i="4" l="1"/>
  <c r="CW31" i="4"/>
  <c r="CV31" i="4"/>
  <c r="CU31" i="4"/>
  <c r="CT31" i="4"/>
  <c r="CS31" i="4"/>
  <c r="CR31" i="4"/>
  <c r="CQ31" i="4"/>
  <c r="CX30" i="4"/>
  <c r="CW30" i="4"/>
  <c r="CV30" i="4"/>
  <c r="CU30" i="4"/>
  <c r="CT30" i="4"/>
  <c r="CS30" i="4"/>
  <c r="CR30" i="4"/>
  <c r="CQ30" i="4"/>
  <c r="CX29" i="4"/>
  <c r="CW29" i="4"/>
  <c r="CV29" i="4"/>
  <c r="CU29" i="4"/>
  <c r="CT29" i="4"/>
  <c r="CS29" i="4"/>
  <c r="CR29" i="4"/>
  <c r="CQ29" i="4"/>
  <c r="CX28" i="4"/>
  <c r="CW28" i="4"/>
  <c r="CV28" i="4"/>
  <c r="CU28" i="4"/>
  <c r="CT28" i="4"/>
  <c r="CS28" i="4"/>
  <c r="CR28" i="4"/>
  <c r="CQ28" i="4"/>
  <c r="CX27" i="4"/>
  <c r="CW27" i="4"/>
  <c r="CV27" i="4"/>
  <c r="CU27" i="4"/>
  <c r="CT27" i="4"/>
  <c r="CS27" i="4"/>
  <c r="CR27" i="4"/>
  <c r="CQ27" i="4"/>
  <c r="CX26" i="4"/>
  <c r="CW26" i="4"/>
  <c r="CV26" i="4"/>
  <c r="CU26" i="4"/>
  <c r="CT26" i="4"/>
  <c r="CS26" i="4"/>
  <c r="CR26" i="4"/>
  <c r="CQ26" i="4"/>
  <c r="CX25" i="4"/>
  <c r="CW25" i="4"/>
  <c r="CV25" i="4"/>
  <c r="CU25" i="4"/>
  <c r="CT25" i="4"/>
  <c r="CS25" i="4"/>
  <c r="CR25" i="4"/>
  <c r="CQ25" i="4"/>
  <c r="CX24" i="4"/>
  <c r="CW24" i="4"/>
  <c r="CV24" i="4"/>
  <c r="CU24" i="4"/>
  <c r="CT24" i="4"/>
  <c r="CS24" i="4"/>
  <c r="CR24" i="4"/>
  <c r="CQ24" i="4"/>
  <c r="CX23" i="4"/>
  <c r="CW23" i="4"/>
  <c r="CV23" i="4"/>
  <c r="CU23" i="4"/>
  <c r="CT23" i="4"/>
  <c r="CS23" i="4"/>
  <c r="CR23" i="4"/>
  <c r="CQ23" i="4"/>
  <c r="CX22" i="4"/>
  <c r="CW22" i="4"/>
  <c r="CV22" i="4"/>
  <c r="CU22" i="4"/>
  <c r="CT22" i="4"/>
  <c r="CS22" i="4"/>
  <c r="CR22" i="4"/>
  <c r="CQ22" i="4"/>
  <c r="CX21" i="4"/>
  <c r="CW21" i="4"/>
  <c r="CV21" i="4"/>
  <c r="CU21" i="4"/>
  <c r="CT21" i="4"/>
  <c r="CS21" i="4"/>
  <c r="CR21" i="4"/>
  <c r="CQ21" i="4"/>
  <c r="CX20" i="4"/>
  <c r="CW20" i="4"/>
  <c r="CV20" i="4"/>
  <c r="CU20" i="4"/>
  <c r="CT20" i="4"/>
  <c r="CS20" i="4"/>
  <c r="CR20" i="4"/>
  <c r="CQ20" i="4"/>
  <c r="CX19" i="4"/>
  <c r="CW19" i="4"/>
  <c r="CV19" i="4"/>
  <c r="CU19" i="4"/>
  <c r="CT19" i="4"/>
  <c r="CS19" i="4"/>
  <c r="CR19" i="4"/>
  <c r="CQ19" i="4"/>
  <c r="CX18" i="4"/>
  <c r="CW18" i="4"/>
  <c r="CV18" i="4"/>
  <c r="CU18" i="4"/>
  <c r="CT18" i="4"/>
  <c r="CS18" i="4"/>
  <c r="CR18" i="4"/>
  <c r="CQ18" i="4"/>
  <c r="CX17" i="4"/>
  <c r="CW17" i="4"/>
  <c r="CV17" i="4"/>
  <c r="CU17" i="4"/>
  <c r="CT17" i="4"/>
  <c r="CS17" i="4"/>
  <c r="CR17" i="4"/>
  <c r="CQ17" i="4"/>
  <c r="CX16" i="4"/>
  <c r="CW16" i="4"/>
  <c r="CV16" i="4"/>
  <c r="CU16" i="4"/>
  <c r="CT16" i="4"/>
  <c r="CS16" i="4"/>
  <c r="CR16" i="4"/>
  <c r="CQ16" i="4"/>
  <c r="CX15" i="4"/>
  <c r="CW15" i="4"/>
  <c r="CV15" i="4"/>
  <c r="CU15" i="4"/>
  <c r="CT15" i="4"/>
  <c r="CS15" i="4"/>
  <c r="CR15" i="4"/>
  <c r="CQ15" i="4"/>
  <c r="CX14" i="4"/>
  <c r="CW14" i="4"/>
  <c r="CV14" i="4"/>
  <c r="CU14" i="4"/>
  <c r="CT14" i="4"/>
  <c r="CS14" i="4"/>
  <c r="CR14" i="4"/>
  <c r="CQ14" i="4"/>
  <c r="CX13" i="4"/>
  <c r="CW13" i="4"/>
  <c r="CV13" i="4"/>
  <c r="CU13" i="4"/>
  <c r="CT13" i="4"/>
  <c r="CS13" i="4"/>
  <c r="CR13" i="4"/>
  <c r="CQ13" i="4"/>
  <c r="CX12" i="4"/>
  <c r="CW12" i="4"/>
  <c r="CV12" i="4"/>
  <c r="CU12" i="4"/>
  <c r="CT12" i="4"/>
  <c r="CS12" i="4"/>
  <c r="CR12" i="4"/>
  <c r="CR37" i="4" s="1"/>
  <c r="CQ12" i="4"/>
  <c r="CX11" i="4"/>
  <c r="CW11" i="4"/>
  <c r="CV11" i="4"/>
  <c r="CU11" i="4"/>
  <c r="CT11" i="4"/>
  <c r="CS11" i="4"/>
  <c r="CR11" i="4"/>
  <c r="CQ11" i="4"/>
  <c r="CX10" i="4"/>
  <c r="CW10" i="4"/>
  <c r="CV10" i="4"/>
  <c r="CU10" i="4"/>
  <c r="CT10" i="4"/>
  <c r="CS10" i="4"/>
  <c r="CR10" i="4"/>
  <c r="CQ10" i="4"/>
  <c r="CX9" i="4"/>
  <c r="CW9" i="4"/>
  <c r="CV9" i="4"/>
  <c r="CU9" i="4"/>
  <c r="CT9" i="4"/>
  <c r="CS9" i="4"/>
  <c r="CR9" i="4"/>
  <c r="CQ9" i="4"/>
  <c r="CX8" i="4"/>
  <c r="CW8" i="4"/>
  <c r="CV8" i="4"/>
  <c r="CU8" i="4"/>
  <c r="CT8" i="4"/>
  <c r="CS8" i="4"/>
  <c r="CR8" i="4"/>
  <c r="CQ8" i="4"/>
  <c r="CX7" i="4"/>
  <c r="CW7" i="4"/>
  <c r="CV7" i="4"/>
  <c r="CU7" i="4"/>
  <c r="CT7" i="4"/>
  <c r="CS7" i="4"/>
  <c r="CR7" i="4"/>
  <c r="CQ7" i="4"/>
  <c r="CX6" i="4"/>
  <c r="CW6" i="4"/>
  <c r="CW37" i="4" s="1"/>
  <c r="CV6" i="4"/>
  <c r="CU6" i="4"/>
  <c r="CT6" i="4"/>
  <c r="CS6" i="4"/>
  <c r="CR6" i="4"/>
  <c r="CQ6" i="4"/>
  <c r="CS37" i="4"/>
  <c r="CO37" i="4"/>
  <c r="CN37" i="4"/>
  <c r="CM37" i="4"/>
  <c r="CL37" i="4"/>
  <c r="CK37" i="4"/>
  <c r="CJ37" i="4"/>
  <c r="CI37" i="4"/>
  <c r="CH37" i="4"/>
  <c r="CF37" i="4"/>
  <c r="CE37" i="4"/>
  <c r="CD37" i="4"/>
  <c r="CC37" i="4"/>
  <c r="CB37" i="4"/>
  <c r="CA37" i="4"/>
  <c r="BZ37" i="4"/>
  <c r="BY37" i="4"/>
  <c r="Z37" i="4"/>
  <c r="Y37" i="4"/>
  <c r="X37" i="4"/>
  <c r="W37" i="4"/>
  <c r="V37" i="4"/>
  <c r="U37" i="4"/>
  <c r="T37" i="4"/>
  <c r="S37" i="4"/>
  <c r="Q37" i="4"/>
  <c r="P37" i="4"/>
  <c r="O37" i="4"/>
  <c r="N37" i="4"/>
  <c r="M37" i="4"/>
  <c r="CV37" i="4" l="1"/>
  <c r="CT37" i="4"/>
  <c r="CX37" i="4"/>
  <c r="CU37" i="4"/>
  <c r="CQ37" i="4"/>
  <c r="D24" i="53"/>
  <c r="E24" i="53"/>
  <c r="D26" i="53"/>
  <c r="E26" i="53"/>
  <c r="D28" i="53"/>
  <c r="E28" i="53"/>
  <c r="D29" i="53"/>
  <c r="E29" i="53"/>
  <c r="D30" i="53"/>
  <c r="E30" i="53"/>
  <c r="K14" i="20"/>
  <c r="J14" i="20"/>
  <c r="I14" i="20"/>
  <c r="H14" i="20"/>
  <c r="G14" i="20"/>
  <c r="K13" i="20"/>
  <c r="J13" i="20"/>
  <c r="I13" i="20"/>
  <c r="H13" i="20"/>
  <c r="G13" i="20"/>
  <c r="N15" i="42" l="1"/>
  <c r="M15" i="42"/>
  <c r="L15" i="42"/>
  <c r="S3" i="42"/>
  <c r="R3" i="42"/>
  <c r="Q3" i="42"/>
  <c r="P3" i="42"/>
  <c r="O3" i="42"/>
  <c r="N3" i="42"/>
  <c r="M3" i="42"/>
  <c r="L3" i="42"/>
  <c r="F2" i="56"/>
  <c r="J17" i="56" s="1"/>
  <c r="K48" i="59"/>
  <c r="K49" i="59"/>
  <c r="J51" i="59"/>
  <c r="I51" i="59"/>
  <c r="H51" i="59"/>
  <c r="G51" i="59"/>
  <c r="E51" i="59"/>
  <c r="D51" i="59"/>
  <c r="K46" i="59"/>
  <c r="K40" i="59"/>
  <c r="F40" i="59"/>
  <c r="F39" i="59"/>
  <c r="K39" i="59"/>
  <c r="F37" i="59"/>
  <c r="K37" i="59"/>
  <c r="F38" i="59"/>
  <c r="K38" i="59" s="1"/>
  <c r="H41" i="59"/>
  <c r="J41" i="59"/>
  <c r="K31" i="59"/>
  <c r="K10" i="59"/>
  <c r="K12" i="59" s="1"/>
  <c r="J31" i="59"/>
  <c r="J10" i="59"/>
  <c r="I31" i="59"/>
  <c r="I10" i="59"/>
  <c r="I12" i="59" s="1"/>
  <c r="F17" i="59"/>
  <c r="G17" i="59"/>
  <c r="H17" i="59"/>
  <c r="I17" i="59"/>
  <c r="K17" i="59" s="1"/>
  <c r="J17" i="59"/>
  <c r="F18" i="59"/>
  <c r="G18" i="59"/>
  <c r="H18" i="59"/>
  <c r="I18" i="59"/>
  <c r="J18" i="59"/>
  <c r="F19" i="59"/>
  <c r="I10" i="41" s="1"/>
  <c r="G19" i="59"/>
  <c r="J10" i="41" s="1"/>
  <c r="H19" i="59"/>
  <c r="K10" i="41" s="1"/>
  <c r="I19" i="59"/>
  <c r="L10" i="41" s="1"/>
  <c r="J19" i="59"/>
  <c r="M10" i="41" s="1"/>
  <c r="K36" i="59"/>
  <c r="K16" i="59"/>
  <c r="K13" i="56"/>
  <c r="K5" i="56"/>
  <c r="I41" i="59"/>
  <c r="D38" i="59"/>
  <c r="E38" i="59"/>
  <c r="D37" i="59"/>
  <c r="E37" i="59"/>
  <c r="D17" i="59"/>
  <c r="E17" i="59"/>
  <c r="J20" i="60"/>
  <c r="I20" i="60"/>
  <c r="H20" i="60"/>
  <c r="H22" i="60"/>
  <c r="G20" i="60"/>
  <c r="F20" i="60"/>
  <c r="E20" i="60"/>
  <c r="D20" i="60"/>
  <c r="BI37" i="54"/>
  <c r="BH37" i="54"/>
  <c r="BG37" i="54"/>
  <c r="BF37" i="54"/>
  <c r="BI40" i="54"/>
  <c r="BI39" i="54" s="1"/>
  <c r="BH40" i="54"/>
  <c r="BH39" i="54" s="1"/>
  <c r="BG40" i="54"/>
  <c r="BG39" i="54" s="1"/>
  <c r="BF40" i="54"/>
  <c r="BF39" i="54" s="1"/>
  <c r="BI36" i="54"/>
  <c r="BH36" i="54"/>
  <c r="BG36" i="54"/>
  <c r="BF36" i="54"/>
  <c r="BE37" i="54"/>
  <c r="BE40" i="54"/>
  <c r="BE39" i="54" s="1"/>
  <c r="BE36" i="54"/>
  <c r="P33" i="60"/>
  <c r="P32" i="60"/>
  <c r="P30" i="60"/>
  <c r="M31" i="60"/>
  <c r="L31" i="60"/>
  <c r="L34" i="60" s="1"/>
  <c r="L20" i="60" s="1"/>
  <c r="F22" i="60"/>
  <c r="J18" i="60"/>
  <c r="J22" i="60"/>
  <c r="I18" i="60"/>
  <c r="I22" i="60"/>
  <c r="H18" i="60"/>
  <c r="G18" i="60"/>
  <c r="G22" i="60"/>
  <c r="F18" i="60"/>
  <c r="E18" i="60"/>
  <c r="E22" i="60"/>
  <c r="D18" i="60"/>
  <c r="J39" i="60"/>
  <c r="I39" i="60"/>
  <c r="H39" i="60"/>
  <c r="G39" i="60"/>
  <c r="F39" i="60"/>
  <c r="E39" i="60"/>
  <c r="J38" i="60"/>
  <c r="I38" i="60"/>
  <c r="H38" i="60"/>
  <c r="G38" i="60"/>
  <c r="F38" i="60"/>
  <c r="E38" i="60"/>
  <c r="J37" i="60"/>
  <c r="I37" i="60"/>
  <c r="H37" i="60"/>
  <c r="G37" i="60"/>
  <c r="F37" i="60"/>
  <c r="E37" i="60"/>
  <c r="D38" i="60"/>
  <c r="D39" i="60"/>
  <c r="D37" i="60"/>
  <c r="J34" i="60"/>
  <c r="I34" i="60"/>
  <c r="H34" i="60"/>
  <c r="G34" i="60"/>
  <c r="F34" i="60"/>
  <c r="E34" i="60"/>
  <c r="D34" i="60"/>
  <c r="D22" i="60"/>
  <c r="O60" i="19"/>
  <c r="N60" i="19"/>
  <c r="M60" i="19"/>
  <c r="L60" i="19"/>
  <c r="K60" i="19"/>
  <c r="J60" i="19"/>
  <c r="I60" i="19"/>
  <c r="H60" i="19"/>
  <c r="C10" i="42"/>
  <c r="D10" i="42"/>
  <c r="E10" i="42"/>
  <c r="L47" i="53"/>
  <c r="K47" i="53"/>
  <c r="J47" i="53"/>
  <c r="I47" i="53"/>
  <c r="H47" i="53"/>
  <c r="G47" i="53"/>
  <c r="F47" i="53"/>
  <c r="E47" i="53"/>
  <c r="D47" i="53"/>
  <c r="O31" i="19"/>
  <c r="N31" i="19"/>
  <c r="M31" i="19"/>
  <c r="L31" i="19"/>
  <c r="K31" i="19"/>
  <c r="O19" i="19"/>
  <c r="N19" i="19"/>
  <c r="M19" i="19"/>
  <c r="L19" i="19"/>
  <c r="K19" i="19"/>
  <c r="O25" i="19"/>
  <c r="N25" i="19"/>
  <c r="M25" i="19"/>
  <c r="L25" i="19"/>
  <c r="K25" i="19"/>
  <c r="O14" i="19"/>
  <c r="N14" i="19"/>
  <c r="M14" i="19"/>
  <c r="L14" i="19"/>
  <c r="K14" i="19"/>
  <c r="DB21" i="5"/>
  <c r="DB20" i="5"/>
  <c r="DB19" i="5"/>
  <c r="DB18" i="5"/>
  <c r="I55" i="29"/>
  <c r="V17" i="28"/>
  <c r="U17" i="28"/>
  <c r="T17" i="28"/>
  <c r="S17" i="28"/>
  <c r="R17" i="28"/>
  <c r="N37" i="23"/>
  <c r="N38" i="23"/>
  <c r="O12" i="28"/>
  <c r="Q12" i="28"/>
  <c r="P11" i="28"/>
  <c r="P12" i="28"/>
  <c r="O16" i="28"/>
  <c r="N16" i="28"/>
  <c r="N12" i="28"/>
  <c r="N14" i="28"/>
  <c r="O14" i="28"/>
  <c r="P14" i="28"/>
  <c r="Q14" i="28"/>
  <c r="R14" i="28"/>
  <c r="S14" i="28"/>
  <c r="T14" i="28"/>
  <c r="U14" i="28"/>
  <c r="V14" i="28"/>
  <c r="M17" i="28"/>
  <c r="J2" i="41"/>
  <c r="E21" i="20"/>
  <c r="F21" i="20"/>
  <c r="G21" i="20"/>
  <c r="K40" i="23"/>
  <c r="I39" i="23"/>
  <c r="L36" i="23"/>
  <c r="K36" i="23"/>
  <c r="H36" i="23"/>
  <c r="J35" i="23"/>
  <c r="J34" i="23"/>
  <c r="I29" i="23"/>
  <c r="J40" i="23"/>
  <c r="I40" i="23"/>
  <c r="H40" i="23"/>
  <c r="J39" i="23"/>
  <c r="I38" i="23"/>
  <c r="H38" i="23"/>
  <c r="I35" i="23"/>
  <c r="I34" i="23"/>
  <c r="H34" i="23"/>
  <c r="K17" i="23"/>
  <c r="H17" i="23"/>
  <c r="O17" i="28"/>
  <c r="F9" i="20"/>
  <c r="L6" i="28"/>
  <c r="M6" i="28"/>
  <c r="N6" i="28"/>
  <c r="O6" i="28"/>
  <c r="Q6" i="28"/>
  <c r="R6" i="28"/>
  <c r="S6" i="28"/>
  <c r="T6" i="28"/>
  <c r="U6" i="28"/>
  <c r="V6" i="28"/>
  <c r="R11" i="28"/>
  <c r="S11" i="28"/>
  <c r="T11" i="28"/>
  <c r="U11" i="28"/>
  <c r="V11" i="28"/>
  <c r="V15" i="28"/>
  <c r="K12" i="28"/>
  <c r="K13" i="28"/>
  <c r="L12" i="28"/>
  <c r="L13" i="28"/>
  <c r="M12" i="28"/>
  <c r="M13" i="28"/>
  <c r="N13" i="28"/>
  <c r="O13" i="28"/>
  <c r="P13" i="28"/>
  <c r="Q13" i="28"/>
  <c r="R13" i="28"/>
  <c r="S13" i="28"/>
  <c r="T13" i="28"/>
  <c r="U13" i="28"/>
  <c r="V13" i="28"/>
  <c r="L10" i="19"/>
  <c r="U8" i="19"/>
  <c r="F38" i="20"/>
  <c r="E38" i="20"/>
  <c r="E40" i="20"/>
  <c r="F11" i="20"/>
  <c r="F40" i="20"/>
  <c r="G13" i="48"/>
  <c r="H13" i="48"/>
  <c r="I13" i="48"/>
  <c r="J13" i="48"/>
  <c r="K13" i="48"/>
  <c r="D18" i="20"/>
  <c r="M36" i="26"/>
  <c r="J21" i="28"/>
  <c r="BY5" i="47"/>
  <c r="N25" i="28"/>
  <c r="M25" i="28"/>
  <c r="L25" i="28"/>
  <c r="K25" i="28"/>
  <c r="N30" i="28"/>
  <c r="X18" i="53"/>
  <c r="N2" i="44"/>
  <c r="AY13" i="54"/>
  <c r="BI13" i="54" s="1"/>
  <c r="Y12" i="53"/>
  <c r="Y13" i="53"/>
  <c r="Y14" i="53"/>
  <c r="X13" i="53"/>
  <c r="Y18" i="53"/>
  <c r="AF42" i="54"/>
  <c r="AE42" i="54"/>
  <c r="AD42" i="54"/>
  <c r="AC42" i="54"/>
  <c r="AB42" i="54"/>
  <c r="AA42" i="54"/>
  <c r="Z42" i="54"/>
  <c r="Y42" i="54"/>
  <c r="X42" i="54"/>
  <c r="AF4" i="54"/>
  <c r="AE4" i="54"/>
  <c r="AD4" i="54"/>
  <c r="AC4" i="54"/>
  <c r="AB4" i="54"/>
  <c r="AA4" i="54"/>
  <c r="Z4" i="54"/>
  <c r="Y4" i="54"/>
  <c r="X4" i="54"/>
  <c r="AP4" i="52"/>
  <c r="AO4" i="52"/>
  <c r="AN4" i="52"/>
  <c r="AM4" i="52"/>
  <c r="AL4" i="52"/>
  <c r="AK4" i="52"/>
  <c r="AJ4" i="52"/>
  <c r="AI4" i="52"/>
  <c r="AH4" i="52"/>
  <c r="AF44" i="44"/>
  <c r="AF30" i="44"/>
  <c r="AF17" i="44"/>
  <c r="W44" i="44"/>
  <c r="W30" i="44"/>
  <c r="W17" i="44"/>
  <c r="E44" i="44"/>
  <c r="N44" i="44"/>
  <c r="N30" i="44"/>
  <c r="E30" i="44"/>
  <c r="E17" i="44"/>
  <c r="N17" i="44"/>
  <c r="E9" i="44"/>
  <c r="N9" i="44"/>
  <c r="AF9" i="44"/>
  <c r="W9" i="44"/>
  <c r="AJ5" i="47"/>
  <c r="N43" i="28"/>
  <c r="M43" i="28"/>
  <c r="L43" i="28"/>
  <c r="K43" i="28"/>
  <c r="O43" i="28"/>
  <c r="N46" i="28"/>
  <c r="O46" i="28"/>
  <c r="AH5" i="47"/>
  <c r="N44" i="28"/>
  <c r="O44" i="28"/>
  <c r="AI5" i="47"/>
  <c r="N45" i="28"/>
  <c r="O45" i="28"/>
  <c r="AK5" i="47"/>
  <c r="N47" i="28"/>
  <c r="O47" i="28"/>
  <c r="U29" i="11"/>
  <c r="U30" i="11"/>
  <c r="U31" i="11"/>
  <c r="U32" i="11"/>
  <c r="U33" i="11"/>
  <c r="U34" i="11"/>
  <c r="U35" i="11"/>
  <c r="U36" i="11"/>
  <c r="U37" i="11"/>
  <c r="J5" i="56"/>
  <c r="I5" i="56"/>
  <c r="H5" i="56"/>
  <c r="G5" i="56"/>
  <c r="F5" i="56"/>
  <c r="E5" i="56"/>
  <c r="AL5" i="15"/>
  <c r="O25" i="28"/>
  <c r="P25" i="28"/>
  <c r="Q25" i="28"/>
  <c r="R25" i="28"/>
  <c r="S25" i="28"/>
  <c r="T25" i="28"/>
  <c r="U25" i="28"/>
  <c r="N27" i="28"/>
  <c r="O27" i="28"/>
  <c r="P27" i="28"/>
  <c r="Q27" i="28"/>
  <c r="R27" i="28"/>
  <c r="S27" i="28"/>
  <c r="T27" i="28"/>
  <c r="U27" i="28"/>
  <c r="K28" i="28"/>
  <c r="L28" i="28"/>
  <c r="M28" i="28"/>
  <c r="N28" i="28"/>
  <c r="O28" i="28"/>
  <c r="P28" i="28"/>
  <c r="Q28" i="28"/>
  <c r="R28" i="28"/>
  <c r="S28" i="28"/>
  <c r="T28" i="28"/>
  <c r="U28" i="28"/>
  <c r="O30" i="28"/>
  <c r="P30" i="28"/>
  <c r="Q30" i="28"/>
  <c r="R30" i="28"/>
  <c r="S30" i="28"/>
  <c r="T30" i="28"/>
  <c r="U30" i="28"/>
  <c r="AR5" i="47"/>
  <c r="P43" i="28"/>
  <c r="N48" i="28"/>
  <c r="O48" i="28"/>
  <c r="P48" i="28"/>
  <c r="AU5" i="47"/>
  <c r="Q43" i="28"/>
  <c r="P45" i="28"/>
  <c r="Q45" i="28"/>
  <c r="AZ5" i="47"/>
  <c r="R43" i="28"/>
  <c r="P44" i="28"/>
  <c r="Q44" i="28"/>
  <c r="R44" i="28"/>
  <c r="BA5" i="47"/>
  <c r="R45" i="28"/>
  <c r="BF5" i="47"/>
  <c r="S43" i="28"/>
  <c r="S44" i="28"/>
  <c r="AN5" i="47"/>
  <c r="AP5" i="47"/>
  <c r="P46" i="28"/>
  <c r="CA5" i="47"/>
  <c r="AO5" i="47"/>
  <c r="BC6" i="6"/>
  <c r="BD6" i="6"/>
  <c r="BE6" i="6"/>
  <c r="BF6" i="6"/>
  <c r="P47" i="28"/>
  <c r="BG6" i="6"/>
  <c r="V26" i="6"/>
  <c r="V27" i="6"/>
  <c r="V28" i="6"/>
  <c r="V29" i="6"/>
  <c r="V30" i="6"/>
  <c r="V31" i="6"/>
  <c r="V32" i="6"/>
  <c r="V33" i="6"/>
  <c r="V34" i="6"/>
  <c r="V35" i="6"/>
  <c r="V36" i="6"/>
  <c r="V37" i="6"/>
  <c r="V38" i="6"/>
  <c r="K34" i="23"/>
  <c r="N17" i="28"/>
  <c r="D2" i="57"/>
  <c r="L17" i="28"/>
  <c r="K17" i="28"/>
  <c r="Z26" i="6"/>
  <c r="Z27" i="6"/>
  <c r="Z28" i="6"/>
  <c r="Z29" i="6"/>
  <c r="Z30" i="6"/>
  <c r="Z31" i="6"/>
  <c r="Z32" i="6"/>
  <c r="Z33" i="6"/>
  <c r="Z34" i="6"/>
  <c r="Z35" i="6"/>
  <c r="Z36" i="6"/>
  <c r="Z37" i="6"/>
  <c r="Z38" i="6"/>
  <c r="Z29" i="11"/>
  <c r="Z30" i="11"/>
  <c r="Z31" i="11"/>
  <c r="Z32" i="11"/>
  <c r="Z33" i="11"/>
  <c r="Z34" i="11"/>
  <c r="Z35" i="11"/>
  <c r="Z36" i="11"/>
  <c r="Z37" i="11"/>
  <c r="T37" i="52"/>
  <c r="T42" i="52" s="1"/>
  <c r="L37" i="55"/>
  <c r="BQ4" i="54"/>
  <c r="J3" i="42"/>
  <c r="I3" i="42"/>
  <c r="H3" i="42"/>
  <c r="G3" i="42"/>
  <c r="F3" i="42"/>
  <c r="E3" i="42"/>
  <c r="D3" i="42"/>
  <c r="C3" i="42"/>
  <c r="E40" i="42"/>
  <c r="D40" i="42"/>
  <c r="E39" i="42"/>
  <c r="D39" i="42"/>
  <c r="E38" i="42"/>
  <c r="D38" i="42"/>
  <c r="E37" i="42"/>
  <c r="D37" i="42"/>
  <c r="E36" i="42"/>
  <c r="D36" i="42"/>
  <c r="E35" i="42"/>
  <c r="D35" i="42"/>
  <c r="E34" i="42"/>
  <c r="D34" i="42"/>
  <c r="E33" i="42"/>
  <c r="D33" i="42"/>
  <c r="E32" i="42"/>
  <c r="D32" i="42"/>
  <c r="E31" i="42"/>
  <c r="D31" i="42"/>
  <c r="E30" i="42"/>
  <c r="D30" i="42"/>
  <c r="E29" i="42"/>
  <c r="D29" i="42"/>
  <c r="E28" i="42"/>
  <c r="D28" i="42"/>
  <c r="E27" i="42"/>
  <c r="D27" i="42"/>
  <c r="E26" i="42"/>
  <c r="D26" i="42"/>
  <c r="E25" i="42"/>
  <c r="D25" i="42"/>
  <c r="E24" i="42"/>
  <c r="D24" i="42"/>
  <c r="E23" i="42"/>
  <c r="D23" i="42"/>
  <c r="E22" i="42"/>
  <c r="D22" i="42"/>
  <c r="E21" i="42"/>
  <c r="D21" i="42"/>
  <c r="E20" i="42"/>
  <c r="D20" i="42"/>
  <c r="E19" i="42"/>
  <c r="D19" i="42"/>
  <c r="E18" i="42"/>
  <c r="D18" i="42"/>
  <c r="E17" i="42"/>
  <c r="D17" i="42"/>
  <c r="E16" i="42"/>
  <c r="D16" i="42"/>
  <c r="E15" i="42"/>
  <c r="D15" i="42"/>
  <c r="E14" i="42"/>
  <c r="D14" i="42"/>
  <c r="E13" i="42"/>
  <c r="D13" i="42"/>
  <c r="E12" i="42"/>
  <c r="D12" i="42"/>
  <c r="E11" i="42"/>
  <c r="D11" i="42"/>
  <c r="E9" i="42"/>
  <c r="D9" i="42"/>
  <c r="E8" i="42"/>
  <c r="D8" i="42"/>
  <c r="E7" i="42"/>
  <c r="D7" i="42"/>
  <c r="E6" i="42"/>
  <c r="D6" i="42"/>
  <c r="E5" i="42"/>
  <c r="D5" i="42"/>
  <c r="E4" i="42"/>
  <c r="D4" i="42"/>
  <c r="D7" i="48"/>
  <c r="AZ26" i="54"/>
  <c r="AV11" i="13"/>
  <c r="AV10" i="13"/>
  <c r="BJ24" i="52"/>
  <c r="P39" i="17"/>
  <c r="BH5" i="47"/>
  <c r="Q46" i="28"/>
  <c r="R46" i="28"/>
  <c r="S46" i="28"/>
  <c r="BI5" i="47"/>
  <c r="Q47" i="28"/>
  <c r="R47" i="28"/>
  <c r="S47" i="28"/>
  <c r="AX5" i="47"/>
  <c r="Q48" i="28"/>
  <c r="AD5" i="47"/>
  <c r="AC5" i="47"/>
  <c r="BG5" i="47"/>
  <c r="S45" i="28"/>
  <c r="AV5" i="47"/>
  <c r="BD5" i="47"/>
  <c r="R48" i="28"/>
  <c r="J25" i="19"/>
  <c r="O17" i="19"/>
  <c r="AC8" i="19"/>
  <c r="N17" i="19"/>
  <c r="AB8" i="19"/>
  <c r="K17" i="19"/>
  <c r="L17" i="19"/>
  <c r="Z8" i="19"/>
  <c r="J17" i="19"/>
  <c r="X8" i="19"/>
  <c r="J14" i="19"/>
  <c r="J54" i="19"/>
  <c r="J40" i="19"/>
  <c r="I54" i="19"/>
  <c r="H54" i="19"/>
  <c r="Z32" i="53"/>
  <c r="Y32" i="53"/>
  <c r="X32" i="53"/>
  <c r="Z6" i="53"/>
  <c r="P32" i="53"/>
  <c r="F32" i="53"/>
  <c r="P6" i="53"/>
  <c r="F41" i="53"/>
  <c r="F6" i="53"/>
  <c r="BD4" i="54"/>
  <c r="BD42" i="54"/>
  <c r="AT42" i="54"/>
  <c r="AT4" i="54"/>
  <c r="AJ4" i="54"/>
  <c r="AJ42" i="54"/>
  <c r="P42" i="54"/>
  <c r="P4" i="54"/>
  <c r="F42" i="54"/>
  <c r="F4" i="54"/>
  <c r="BD36" i="52"/>
  <c r="BN4" i="52"/>
  <c r="BD4" i="52"/>
  <c r="AT4" i="52"/>
  <c r="Z4" i="52"/>
  <c r="P4" i="52"/>
  <c r="F4" i="52"/>
  <c r="P9" i="17"/>
  <c r="S5" i="17"/>
  <c r="L45" i="40"/>
  <c r="CS36" i="40"/>
  <c r="CS35" i="40"/>
  <c r="CS34" i="40"/>
  <c r="CS33" i="40"/>
  <c r="CS32" i="40"/>
  <c r="CS31" i="40"/>
  <c r="CS30" i="40"/>
  <c r="CS29" i="40"/>
  <c r="CS28" i="40"/>
  <c r="CS27" i="40"/>
  <c r="CS26" i="40"/>
  <c r="CS25" i="40"/>
  <c r="CS24" i="40"/>
  <c r="CS23" i="40"/>
  <c r="CS22" i="40"/>
  <c r="CS21" i="40"/>
  <c r="CS20" i="40"/>
  <c r="CS19" i="40"/>
  <c r="CS18" i="40"/>
  <c r="CS17" i="40"/>
  <c r="CS16" i="40"/>
  <c r="CS15" i="40"/>
  <c r="CS14" i="40"/>
  <c r="CS13" i="40"/>
  <c r="CS12" i="40"/>
  <c r="CS44" i="40"/>
  <c r="CS43" i="40"/>
  <c r="AR5" i="40"/>
  <c r="AR41" i="40"/>
  <c r="AN5" i="40"/>
  <c r="AN41" i="40"/>
  <c r="AM5" i="40"/>
  <c r="AM41" i="40"/>
  <c r="AL5" i="40"/>
  <c r="AL41" i="40"/>
  <c r="AK5" i="40"/>
  <c r="AK41" i="40"/>
  <c r="AJ5" i="40"/>
  <c r="AJ41" i="40"/>
  <c r="AI5" i="40"/>
  <c r="AI41" i="40"/>
  <c r="AH5" i="40"/>
  <c r="AH41" i="40"/>
  <c r="AG5" i="40"/>
  <c r="AG41" i="40"/>
  <c r="AF5" i="40"/>
  <c r="AF41" i="40"/>
  <c r="AE5" i="40"/>
  <c r="AE41" i="40"/>
  <c r="AD5" i="40"/>
  <c r="AD41" i="40"/>
  <c r="AC5" i="40"/>
  <c r="AC41" i="40"/>
  <c r="AB5" i="40"/>
  <c r="AB41" i="40"/>
  <c r="AS5" i="40"/>
  <c r="AS41" i="40"/>
  <c r="AQ5" i="40"/>
  <c r="AQ41" i="40"/>
  <c r="AP5" i="40"/>
  <c r="AO5" i="40"/>
  <c r="CA45" i="40"/>
  <c r="CJ45" i="40"/>
  <c r="CS41" i="40"/>
  <c r="CR41" i="40"/>
  <c r="CQ41" i="40"/>
  <c r="CJ41" i="40"/>
  <c r="CA41" i="40"/>
  <c r="CJ5" i="40"/>
  <c r="CA5" i="40"/>
  <c r="CS5" i="40"/>
  <c r="U5" i="40"/>
  <c r="U45" i="40"/>
  <c r="U41" i="40"/>
  <c r="L41" i="40"/>
  <c r="L37" i="40"/>
  <c r="L48" i="40"/>
  <c r="L5" i="40"/>
  <c r="G5" i="17"/>
  <c r="J5" i="9"/>
  <c r="K5" i="9"/>
  <c r="L5" i="9"/>
  <c r="J37" i="9"/>
  <c r="K37" i="9"/>
  <c r="L37" i="9"/>
  <c r="BD5" i="15"/>
  <c r="AU5" i="15"/>
  <c r="AC5" i="15"/>
  <c r="T5" i="15"/>
  <c r="K5" i="15"/>
  <c r="BE24" i="55"/>
  <c r="BE25" i="55"/>
  <c r="BE26" i="55"/>
  <c r="BE27" i="55"/>
  <c r="BE28" i="55"/>
  <c r="BE29" i="55"/>
  <c r="BE30" i="55"/>
  <c r="BE31" i="55"/>
  <c r="BE32" i="55"/>
  <c r="BE33" i="55"/>
  <c r="BE34" i="55"/>
  <c r="BE35" i="55"/>
  <c r="BE36" i="55"/>
  <c r="BE23" i="55"/>
  <c r="BE9" i="55"/>
  <c r="BE8" i="55"/>
  <c r="BE7" i="55"/>
  <c r="BE6" i="55"/>
  <c r="BE23" i="13"/>
  <c r="BE22" i="13"/>
  <c r="BE21" i="13"/>
  <c r="BE20" i="13"/>
  <c r="BE19" i="13"/>
  <c r="BE18" i="13"/>
  <c r="BE17" i="13"/>
  <c r="BE16" i="13"/>
  <c r="BE15" i="13"/>
  <c r="BE14" i="13"/>
  <c r="BE13" i="13"/>
  <c r="BE12" i="13"/>
  <c r="BE5" i="55"/>
  <c r="BE5" i="13"/>
  <c r="AV5" i="55"/>
  <c r="AV5" i="13"/>
  <c r="AM5" i="55"/>
  <c r="AM5" i="13"/>
  <c r="AD5" i="55"/>
  <c r="AD5" i="13"/>
  <c r="U5" i="55"/>
  <c r="U5" i="13"/>
  <c r="L5" i="55"/>
  <c r="L5" i="13"/>
  <c r="AS5" i="47"/>
  <c r="AQ5" i="47"/>
  <c r="U5" i="47"/>
  <c r="L5" i="47"/>
  <c r="CJ5" i="47"/>
  <c r="CS5" i="47"/>
  <c r="CY37" i="11"/>
  <c r="CY36" i="11"/>
  <c r="CY35" i="11"/>
  <c r="CY34" i="11"/>
  <c r="CY33" i="11"/>
  <c r="CY32" i="11"/>
  <c r="CY31" i="11"/>
  <c r="CY30" i="11"/>
  <c r="CY29" i="11"/>
  <c r="CP37" i="11"/>
  <c r="CP36" i="11"/>
  <c r="CP35" i="11"/>
  <c r="CP34" i="11"/>
  <c r="CP33" i="11"/>
  <c r="CP32" i="11"/>
  <c r="CP31" i="11"/>
  <c r="CP30" i="11"/>
  <c r="CP29" i="11"/>
  <c r="BG37" i="11"/>
  <c r="BF37" i="11"/>
  <c r="BE37" i="11"/>
  <c r="BD37" i="11"/>
  <c r="BC37" i="11"/>
  <c r="BG36" i="11"/>
  <c r="BF36" i="11"/>
  <c r="BE36" i="11"/>
  <c r="BD36" i="11"/>
  <c r="BC36" i="11"/>
  <c r="BG35" i="11"/>
  <c r="BF35" i="11"/>
  <c r="BE35" i="11"/>
  <c r="BD35" i="11"/>
  <c r="BC35" i="11"/>
  <c r="BH35" i="11"/>
  <c r="BG34" i="11"/>
  <c r="BF34" i="11"/>
  <c r="BE34" i="11"/>
  <c r="BD34" i="11"/>
  <c r="BC34" i="11"/>
  <c r="BG33" i="11"/>
  <c r="BF33" i="11"/>
  <c r="BE33" i="11"/>
  <c r="BD33" i="11"/>
  <c r="BC33" i="11"/>
  <c r="BG32" i="11"/>
  <c r="BF32" i="11"/>
  <c r="BE32" i="11"/>
  <c r="BD32" i="11"/>
  <c r="BC32" i="11"/>
  <c r="BG31" i="11"/>
  <c r="BF31" i="11"/>
  <c r="BE31" i="11"/>
  <c r="BD31" i="11"/>
  <c r="BC31" i="11"/>
  <c r="BH31" i="11"/>
  <c r="BG30" i="11"/>
  <c r="BF30" i="11"/>
  <c r="BE30" i="11"/>
  <c r="BD30" i="11"/>
  <c r="BC30" i="11"/>
  <c r="BG29" i="11"/>
  <c r="BF29" i="11"/>
  <c r="BE29" i="11"/>
  <c r="BD29" i="11"/>
  <c r="BC29" i="11"/>
  <c r="AJ37" i="11"/>
  <c r="AJ36" i="11"/>
  <c r="AJ35" i="11"/>
  <c r="DH35" i="11" s="1"/>
  <c r="AJ34" i="11"/>
  <c r="AJ33" i="11"/>
  <c r="AJ32" i="11"/>
  <c r="AJ31" i="11"/>
  <c r="DH31" i="11" s="1"/>
  <c r="AJ30" i="11"/>
  <c r="AJ29" i="11"/>
  <c r="AJ6" i="11"/>
  <c r="V37" i="11"/>
  <c r="V36" i="11"/>
  <c r="V35" i="11"/>
  <c r="V34" i="11"/>
  <c r="V33" i="11"/>
  <c r="V32" i="11"/>
  <c r="V31" i="11"/>
  <c r="V30" i="11"/>
  <c r="V29" i="11"/>
  <c r="V6" i="11"/>
  <c r="L6" i="11"/>
  <c r="BH6" i="11"/>
  <c r="BG6" i="11"/>
  <c r="BF6" i="11"/>
  <c r="BE6" i="11"/>
  <c r="BD6" i="11"/>
  <c r="BC6" i="11"/>
  <c r="CP6" i="11"/>
  <c r="CY6" i="11"/>
  <c r="DH6" i="11"/>
  <c r="CS36" i="4"/>
  <c r="CS35" i="4"/>
  <c r="CS34" i="4"/>
  <c r="CS33" i="4"/>
  <c r="CS32" i="4"/>
  <c r="CS36" i="5"/>
  <c r="CS35" i="5"/>
  <c r="CS34" i="5"/>
  <c r="CS33" i="5"/>
  <c r="CS32" i="5"/>
  <c r="CS31" i="5"/>
  <c r="CS30" i="5"/>
  <c r="CS29" i="5"/>
  <c r="CS28" i="5"/>
  <c r="CS27" i="5"/>
  <c r="CS26" i="5"/>
  <c r="CS25" i="5"/>
  <c r="CS24" i="5"/>
  <c r="CS23" i="5"/>
  <c r="CS22" i="5"/>
  <c r="CS18" i="5"/>
  <c r="CS36" i="8"/>
  <c r="CS35" i="8"/>
  <c r="CS34" i="8"/>
  <c r="CS33" i="8"/>
  <c r="CS32" i="8"/>
  <c r="CS31" i="8"/>
  <c r="CS30" i="8"/>
  <c r="CS29" i="8"/>
  <c r="CS28" i="8"/>
  <c r="CS27" i="8"/>
  <c r="CS26" i="8"/>
  <c r="CS36" i="9"/>
  <c r="CS35" i="9"/>
  <c r="CS34" i="9"/>
  <c r="CS33" i="9"/>
  <c r="CS32" i="9"/>
  <c r="CS31" i="9"/>
  <c r="CS30" i="9"/>
  <c r="CS29" i="9"/>
  <c r="CS28" i="9"/>
  <c r="CS27" i="9"/>
  <c r="CS26" i="9"/>
  <c r="CS25" i="9"/>
  <c r="CS24" i="9"/>
  <c r="CS23" i="9"/>
  <c r="CS22" i="9"/>
  <c r="CS21" i="9"/>
  <c r="CS20" i="9"/>
  <c r="CS19" i="9"/>
  <c r="CS18" i="9"/>
  <c r="CS17" i="9"/>
  <c r="CS16" i="9"/>
  <c r="CS15" i="9"/>
  <c r="CS14" i="9"/>
  <c r="CS13" i="9"/>
  <c r="CS12" i="9"/>
  <c r="CS11" i="9"/>
  <c r="CS10" i="9"/>
  <c r="AS5" i="9"/>
  <c r="AR5" i="9"/>
  <c r="AQ5" i="9"/>
  <c r="AP5" i="9"/>
  <c r="AO5" i="9"/>
  <c r="AN5" i="9"/>
  <c r="CS5" i="9"/>
  <c r="CJ5" i="9"/>
  <c r="CA5" i="9"/>
  <c r="U5" i="9"/>
  <c r="AS5" i="8"/>
  <c r="AR5" i="8"/>
  <c r="AQ5" i="8"/>
  <c r="AP5" i="8"/>
  <c r="AO5" i="8"/>
  <c r="AN5" i="8"/>
  <c r="CJ5" i="8"/>
  <c r="CA5" i="8"/>
  <c r="U5" i="8"/>
  <c r="L37" i="8"/>
  <c r="L5" i="8"/>
  <c r="BH6" i="7"/>
  <c r="BG6" i="7"/>
  <c r="BF6" i="7"/>
  <c r="BE6" i="7"/>
  <c r="BD6" i="7"/>
  <c r="BC6" i="7"/>
  <c r="DH6" i="7"/>
  <c r="CY6" i="7"/>
  <c r="CP6" i="7"/>
  <c r="AJ6" i="7"/>
  <c r="V6" i="7"/>
  <c r="L6" i="7"/>
  <c r="BG38" i="6"/>
  <c r="BF38" i="6"/>
  <c r="BE38" i="6"/>
  <c r="BD38" i="6"/>
  <c r="BC38" i="6"/>
  <c r="BH38" i="6" s="1"/>
  <c r="BG37" i="6"/>
  <c r="BF37" i="6"/>
  <c r="BE37" i="6"/>
  <c r="BD37" i="6"/>
  <c r="BH37" i="6" s="1"/>
  <c r="BC37" i="6"/>
  <c r="BG36" i="6"/>
  <c r="BF36" i="6"/>
  <c r="BE36" i="6"/>
  <c r="BD36" i="6"/>
  <c r="BC36" i="6"/>
  <c r="BG35" i="6"/>
  <c r="BF35" i="6"/>
  <c r="BE35" i="6"/>
  <c r="BD35" i="6"/>
  <c r="BC35" i="6"/>
  <c r="BG34" i="6"/>
  <c r="BF34" i="6"/>
  <c r="BE34" i="6"/>
  <c r="BD34" i="6"/>
  <c r="BC34" i="6"/>
  <c r="BG33" i="6"/>
  <c r="BF33" i="6"/>
  <c r="BE33" i="6"/>
  <c r="BD33" i="6"/>
  <c r="BC33" i="6"/>
  <c r="BG32" i="6"/>
  <c r="BF32" i="6"/>
  <c r="BE32" i="6"/>
  <c r="BD32" i="6"/>
  <c r="BC32" i="6"/>
  <c r="BG31" i="6"/>
  <c r="BF31" i="6"/>
  <c r="BE31" i="6"/>
  <c r="BD31" i="6"/>
  <c r="BC31" i="6"/>
  <c r="BG30" i="6"/>
  <c r="BF30" i="6"/>
  <c r="BE30" i="6"/>
  <c r="BD30" i="6"/>
  <c r="BC30" i="6"/>
  <c r="BG29" i="6"/>
  <c r="BF29" i="6"/>
  <c r="BE29" i="6"/>
  <c r="BD29" i="6"/>
  <c r="BC29" i="6"/>
  <c r="BH29" i="6" s="1"/>
  <c r="BG28" i="6"/>
  <c r="BF28" i="6"/>
  <c r="BE28" i="6"/>
  <c r="BD28" i="6"/>
  <c r="BC28" i="6"/>
  <c r="BH28" i="6" s="1"/>
  <c r="BG27" i="6"/>
  <c r="BF27" i="6"/>
  <c r="BE27" i="6"/>
  <c r="BD27" i="6"/>
  <c r="BC27" i="6"/>
  <c r="BH27" i="6" s="1"/>
  <c r="BG26" i="6"/>
  <c r="BF26" i="6"/>
  <c r="BE26" i="6"/>
  <c r="BD26" i="6"/>
  <c r="BC26" i="6"/>
  <c r="BH6" i="6"/>
  <c r="DH6" i="6"/>
  <c r="CY38" i="6"/>
  <c r="CY37" i="6"/>
  <c r="CY36" i="6"/>
  <c r="CY35" i="6"/>
  <c r="CY34" i="6"/>
  <c r="CY33" i="6"/>
  <c r="CY32" i="6"/>
  <c r="CY31" i="6"/>
  <c r="CY30" i="6"/>
  <c r="CY29" i="6"/>
  <c r="CY28" i="6"/>
  <c r="CY27" i="6"/>
  <c r="CY26" i="6"/>
  <c r="CY6" i="6"/>
  <c r="CP38" i="6"/>
  <c r="AJ38" i="6"/>
  <c r="DH38" i="6" s="1"/>
  <c r="CP37" i="6"/>
  <c r="CP36" i="6"/>
  <c r="CP35" i="6"/>
  <c r="AJ35" i="6"/>
  <c r="CP34" i="6"/>
  <c r="AJ34" i="6"/>
  <c r="CP33" i="6"/>
  <c r="CP32" i="6"/>
  <c r="CP31" i="6"/>
  <c r="AJ31" i="6"/>
  <c r="CP30" i="6"/>
  <c r="AJ30" i="6"/>
  <c r="CP29" i="6"/>
  <c r="CP28" i="6"/>
  <c r="CP27" i="6"/>
  <c r="AJ27" i="6"/>
  <c r="CP26" i="6"/>
  <c r="AJ26" i="6"/>
  <c r="CP6" i="6"/>
  <c r="AJ37" i="6"/>
  <c r="AJ36" i="6"/>
  <c r="AJ33" i="6"/>
  <c r="AJ32" i="6"/>
  <c r="BH32" i="6"/>
  <c r="DH32" i="6" s="1"/>
  <c r="AJ29" i="6"/>
  <c r="AJ28" i="6"/>
  <c r="DH28" i="6" s="1"/>
  <c r="AJ6" i="6"/>
  <c r="V6" i="6"/>
  <c r="L6" i="6"/>
  <c r="CJ5" i="5"/>
  <c r="AS5" i="5"/>
  <c r="AR5" i="5"/>
  <c r="AQ5" i="5"/>
  <c r="AP5" i="5"/>
  <c r="AO5" i="5"/>
  <c r="AN5" i="5"/>
  <c r="CS5" i="5"/>
  <c r="CA5" i="5"/>
  <c r="U5" i="5"/>
  <c r="L5" i="5"/>
  <c r="S48" i="28"/>
  <c r="T48" i="28"/>
  <c r="U48" i="28"/>
  <c r="T47" i="28"/>
  <c r="U47" i="28"/>
  <c r="T46" i="28"/>
  <c r="U46" i="28"/>
  <c r="T45" i="28"/>
  <c r="U45" i="28"/>
  <c r="T44" i="28"/>
  <c r="U44" i="28"/>
  <c r="AS5" i="4"/>
  <c r="AR5" i="4"/>
  <c r="AQ5" i="4"/>
  <c r="AP5" i="4"/>
  <c r="AO5" i="4"/>
  <c r="AN5" i="4"/>
  <c r="CS5" i="4"/>
  <c r="CJ5" i="4"/>
  <c r="CA5" i="4"/>
  <c r="U5" i="4"/>
  <c r="L37" i="4"/>
  <c r="L5" i="4"/>
  <c r="N31" i="23"/>
  <c r="N19" i="23"/>
  <c r="N7" i="23"/>
  <c r="Q35" i="28"/>
  <c r="P35" i="28"/>
  <c r="O35" i="28"/>
  <c r="N35" i="28"/>
  <c r="M35" i="28"/>
  <c r="L35" i="28"/>
  <c r="K35" i="28"/>
  <c r="I36" i="23"/>
  <c r="G41" i="29"/>
  <c r="D41" i="29"/>
  <c r="E41" i="29"/>
  <c r="F41" i="29"/>
  <c r="H41" i="29"/>
  <c r="AO42" i="40"/>
  <c r="AO45" i="40" s="1"/>
  <c r="AA32" i="53"/>
  <c r="K54" i="19"/>
  <c r="CT41" i="40"/>
  <c r="AQ42" i="40"/>
  <c r="AQ45" i="40" s="1"/>
  <c r="CS16" i="8"/>
  <c r="AP42" i="40"/>
  <c r="AP45" i="40" s="1"/>
  <c r="AP41" i="40"/>
  <c r="AN42" i="40"/>
  <c r="AN45" i="40" s="1"/>
  <c r="AR42" i="40"/>
  <c r="AR45" i="40" s="1"/>
  <c r="AO41" i="40"/>
  <c r="T6" i="7"/>
  <c r="U6" i="7"/>
  <c r="T6" i="6"/>
  <c r="U6" i="6"/>
  <c r="J5" i="8"/>
  <c r="K5" i="8"/>
  <c r="J5" i="5"/>
  <c r="K5" i="5"/>
  <c r="BH32" i="11"/>
  <c r="DH32" i="11"/>
  <c r="BH36" i="11"/>
  <c r="DH36" i="11" s="1"/>
  <c r="BH33" i="11"/>
  <c r="DH33" i="11" s="1"/>
  <c r="BH37" i="11"/>
  <c r="DH37" i="11" s="1"/>
  <c r="L54" i="19"/>
  <c r="AB32" i="53"/>
  <c r="CU41" i="40"/>
  <c r="R35" i="28"/>
  <c r="AE5" i="47"/>
  <c r="M54" i="19"/>
  <c r="AC32" i="53"/>
  <c r="CV41" i="40"/>
  <c r="S35" i="28"/>
  <c r="AF5" i="47"/>
  <c r="AD32" i="53"/>
  <c r="N54" i="19"/>
  <c r="CW41" i="40"/>
  <c r="T43" i="28"/>
  <c r="T35" i="28"/>
  <c r="AE32" i="53"/>
  <c r="O54" i="19"/>
  <c r="CX41" i="40"/>
  <c r="U43" i="28"/>
  <c r="U35" i="28"/>
  <c r="AZ32" i="54"/>
  <c r="CO37" i="47"/>
  <c r="I37" i="29"/>
  <c r="CN37" i="47"/>
  <c r="AT10" i="13"/>
  <c r="DB5" i="5"/>
  <c r="H26" i="29"/>
  <c r="F20" i="29"/>
  <c r="AK29" i="11"/>
  <c r="BI29" i="11"/>
  <c r="BJ29" i="11"/>
  <c r="BK29" i="11"/>
  <c r="BL29" i="11"/>
  <c r="BM29" i="11"/>
  <c r="CQ29" i="11"/>
  <c r="CZ29" i="11"/>
  <c r="AK30" i="11"/>
  <c r="BI30" i="11"/>
  <c r="BJ30" i="11"/>
  <c r="BK30" i="11"/>
  <c r="BL30" i="11"/>
  <c r="BM30" i="11"/>
  <c r="CQ30" i="11"/>
  <c r="CZ30" i="11"/>
  <c r="AK31" i="11"/>
  <c r="BI31" i="11"/>
  <c r="BJ31" i="11"/>
  <c r="BK31" i="11"/>
  <c r="BL31" i="11"/>
  <c r="BM31" i="11"/>
  <c r="CQ31" i="11"/>
  <c r="CZ31" i="11"/>
  <c r="AK32" i="11"/>
  <c r="BI32" i="11"/>
  <c r="BJ32" i="11"/>
  <c r="BK32" i="11"/>
  <c r="BL32" i="11"/>
  <c r="BM32" i="11"/>
  <c r="CQ32" i="11"/>
  <c r="CZ32" i="11"/>
  <c r="AK33" i="11"/>
  <c r="BI33" i="11"/>
  <c r="BJ33" i="11"/>
  <c r="BK33" i="11"/>
  <c r="BL33" i="11"/>
  <c r="BM33" i="11"/>
  <c r="CQ33" i="11"/>
  <c r="CZ33" i="11"/>
  <c r="AK34" i="11"/>
  <c r="BI34" i="11"/>
  <c r="BJ34" i="11"/>
  <c r="BK34" i="11"/>
  <c r="BL34" i="11"/>
  <c r="BM34" i="11"/>
  <c r="CQ34" i="11"/>
  <c r="CZ34" i="11"/>
  <c r="AK35" i="11"/>
  <c r="BI35" i="11"/>
  <c r="BJ35" i="11"/>
  <c r="BK35" i="11"/>
  <c r="BL35" i="11"/>
  <c r="BM35" i="11"/>
  <c r="CQ35" i="11"/>
  <c r="CZ35" i="11"/>
  <c r="AK36" i="11"/>
  <c r="BI36" i="11"/>
  <c r="BJ36" i="11"/>
  <c r="BK36" i="11"/>
  <c r="BL36" i="11"/>
  <c r="BM36" i="11"/>
  <c r="CQ36" i="11"/>
  <c r="CZ36" i="11"/>
  <c r="AK37" i="11"/>
  <c r="BI37" i="11"/>
  <c r="BJ37" i="11"/>
  <c r="BK37" i="11"/>
  <c r="BL37" i="11"/>
  <c r="BM37" i="11"/>
  <c r="CQ37" i="11"/>
  <c r="CZ37" i="11"/>
  <c r="G20" i="29"/>
  <c r="AK26" i="6"/>
  <c r="BI26" i="6"/>
  <c r="BJ26" i="6"/>
  <c r="BK26" i="6"/>
  <c r="BL26" i="6"/>
  <c r="BM26" i="6"/>
  <c r="CQ26" i="6"/>
  <c r="CZ26" i="6"/>
  <c r="AK27" i="6"/>
  <c r="BI27" i="6"/>
  <c r="BJ27" i="6"/>
  <c r="BK27" i="6"/>
  <c r="BL27" i="6"/>
  <c r="BM27" i="6"/>
  <c r="CQ27" i="6"/>
  <c r="CZ27" i="6"/>
  <c r="AK28" i="6"/>
  <c r="BI28" i="6"/>
  <c r="BJ28" i="6"/>
  <c r="BK28" i="6"/>
  <c r="BL28" i="6"/>
  <c r="BM28" i="6"/>
  <c r="CQ28" i="6"/>
  <c r="CZ28" i="6"/>
  <c r="AK29" i="6"/>
  <c r="BI29" i="6"/>
  <c r="BJ29" i="6"/>
  <c r="BK29" i="6"/>
  <c r="BL29" i="6"/>
  <c r="BM29" i="6"/>
  <c r="CQ29" i="6"/>
  <c r="CZ29" i="6"/>
  <c r="AK30" i="6"/>
  <c r="BI30" i="6"/>
  <c r="BJ30" i="6"/>
  <c r="BK30" i="6"/>
  <c r="BL30" i="6"/>
  <c r="BM30" i="6"/>
  <c r="CQ30" i="6"/>
  <c r="CZ30" i="6"/>
  <c r="AK31" i="6"/>
  <c r="BI31" i="6"/>
  <c r="BJ31" i="6"/>
  <c r="BK31" i="6"/>
  <c r="BL31" i="6"/>
  <c r="BM31" i="6"/>
  <c r="CQ31" i="6"/>
  <c r="CZ31" i="6"/>
  <c r="AK32" i="6"/>
  <c r="BI32" i="6"/>
  <c r="BJ32" i="6"/>
  <c r="BK32" i="6"/>
  <c r="BL32" i="6"/>
  <c r="BM32" i="6"/>
  <c r="CQ32" i="6"/>
  <c r="CZ32" i="6"/>
  <c r="AK33" i="6"/>
  <c r="BI33" i="6"/>
  <c r="BJ33" i="6"/>
  <c r="BK33" i="6"/>
  <c r="BL33" i="6"/>
  <c r="BM33" i="6"/>
  <c r="CQ33" i="6"/>
  <c r="CZ33" i="6"/>
  <c r="AK34" i="6"/>
  <c r="BI34" i="6"/>
  <c r="BJ34" i="6"/>
  <c r="BK34" i="6"/>
  <c r="BL34" i="6"/>
  <c r="BM34" i="6"/>
  <c r="CQ34" i="6"/>
  <c r="CZ34" i="6"/>
  <c r="AK35" i="6"/>
  <c r="BI35" i="6"/>
  <c r="BJ35" i="6"/>
  <c r="BK35" i="6"/>
  <c r="BL35" i="6"/>
  <c r="BM35" i="6"/>
  <c r="CQ35" i="6"/>
  <c r="CZ35" i="6"/>
  <c r="AK36" i="6"/>
  <c r="BI36" i="6"/>
  <c r="BJ36" i="6"/>
  <c r="BK36" i="6"/>
  <c r="BL36" i="6"/>
  <c r="BM36" i="6"/>
  <c r="CQ36" i="6"/>
  <c r="CZ36" i="6"/>
  <c r="AK37" i="6"/>
  <c r="BI37" i="6"/>
  <c r="BJ37" i="6"/>
  <c r="BK37" i="6"/>
  <c r="BL37" i="6"/>
  <c r="BM37" i="6"/>
  <c r="CQ37" i="6"/>
  <c r="CZ37" i="6"/>
  <c r="AK38" i="6"/>
  <c r="BI38" i="6"/>
  <c r="BJ38" i="6"/>
  <c r="BK38" i="6"/>
  <c r="BL38" i="6"/>
  <c r="BM38" i="6"/>
  <c r="CQ38" i="6"/>
  <c r="CZ38" i="6"/>
  <c r="AN29" i="11"/>
  <c r="CA29" i="11"/>
  <c r="CB29" i="11"/>
  <c r="CC29" i="11"/>
  <c r="CD29" i="11"/>
  <c r="CE29" i="11"/>
  <c r="CT29" i="11"/>
  <c r="DC29" i="11"/>
  <c r="AN30" i="11"/>
  <c r="CA30" i="11"/>
  <c r="CB30" i="11"/>
  <c r="CC30" i="11"/>
  <c r="CD30" i="11"/>
  <c r="CE30" i="11"/>
  <c r="CT30" i="11"/>
  <c r="DC30" i="11"/>
  <c r="AN31" i="11"/>
  <c r="CA31" i="11"/>
  <c r="CB31" i="11"/>
  <c r="CC31" i="11"/>
  <c r="CD31" i="11"/>
  <c r="CE31" i="11"/>
  <c r="CT31" i="11"/>
  <c r="DC31" i="11"/>
  <c r="AN32" i="11"/>
  <c r="CA32" i="11"/>
  <c r="CB32" i="11"/>
  <c r="CC32" i="11"/>
  <c r="CD32" i="11"/>
  <c r="CE32" i="11"/>
  <c r="CT32" i="11"/>
  <c r="DC32" i="11"/>
  <c r="AN33" i="11"/>
  <c r="CA33" i="11"/>
  <c r="CB33" i="11"/>
  <c r="CC33" i="11"/>
  <c r="CD33" i="11"/>
  <c r="CE33" i="11"/>
  <c r="CT33" i="11"/>
  <c r="DC33" i="11"/>
  <c r="AN34" i="11"/>
  <c r="CA34" i="11"/>
  <c r="CB34" i="11"/>
  <c r="CC34" i="11"/>
  <c r="CD34" i="11"/>
  <c r="CE34" i="11"/>
  <c r="CT34" i="11"/>
  <c r="DC34" i="11"/>
  <c r="AN35" i="11"/>
  <c r="CA35" i="11"/>
  <c r="CB35" i="11"/>
  <c r="CC35" i="11"/>
  <c r="CD35" i="11"/>
  <c r="CE35" i="11"/>
  <c r="CT35" i="11"/>
  <c r="DC35" i="11"/>
  <c r="AN36" i="11"/>
  <c r="CA36" i="11"/>
  <c r="CB36" i="11"/>
  <c r="CC36" i="11"/>
  <c r="CD36" i="11"/>
  <c r="CE36" i="11"/>
  <c r="CT36" i="11"/>
  <c r="DC36" i="11"/>
  <c r="AN37" i="11"/>
  <c r="CA37" i="11"/>
  <c r="CB37" i="11"/>
  <c r="CC37" i="11"/>
  <c r="CD37" i="11"/>
  <c r="CE37" i="11"/>
  <c r="CT37" i="11"/>
  <c r="DC37" i="11"/>
  <c r="AN26" i="6"/>
  <c r="CA26" i="6"/>
  <c r="CB26" i="6"/>
  <c r="CC26" i="6"/>
  <c r="CD26" i="6"/>
  <c r="CE26" i="6"/>
  <c r="CT26" i="6"/>
  <c r="DC26" i="6"/>
  <c r="AN27" i="6"/>
  <c r="CA27" i="6"/>
  <c r="CB27" i="6"/>
  <c r="CC27" i="6"/>
  <c r="CD27" i="6"/>
  <c r="CE27" i="6"/>
  <c r="CT27" i="6"/>
  <c r="DC27" i="6"/>
  <c r="AN28" i="6"/>
  <c r="CA28" i="6"/>
  <c r="CB28" i="6"/>
  <c r="CC28" i="6"/>
  <c r="CD28" i="6"/>
  <c r="CE28" i="6"/>
  <c r="CT28" i="6"/>
  <c r="DC28" i="6"/>
  <c r="AN29" i="6"/>
  <c r="CA29" i="6"/>
  <c r="CB29" i="6"/>
  <c r="CC29" i="6"/>
  <c r="CD29" i="6"/>
  <c r="CE29" i="6"/>
  <c r="CT29" i="6"/>
  <c r="DC29" i="6"/>
  <c r="AN30" i="6"/>
  <c r="CA30" i="6"/>
  <c r="CB30" i="6"/>
  <c r="CC30" i="6"/>
  <c r="CD30" i="6"/>
  <c r="CE30" i="6"/>
  <c r="CT30" i="6"/>
  <c r="DC30" i="6"/>
  <c r="AN31" i="6"/>
  <c r="CA31" i="6"/>
  <c r="CB31" i="6"/>
  <c r="CC31" i="6"/>
  <c r="CD31" i="6"/>
  <c r="CE31" i="6"/>
  <c r="CT31" i="6"/>
  <c r="DC31" i="6"/>
  <c r="AN32" i="6"/>
  <c r="CA32" i="6"/>
  <c r="CB32" i="6"/>
  <c r="CC32" i="6"/>
  <c r="CD32" i="6"/>
  <c r="CE32" i="6"/>
  <c r="CT32" i="6"/>
  <c r="DC32" i="6"/>
  <c r="AN33" i="6"/>
  <c r="CA33" i="6"/>
  <c r="CB33" i="6"/>
  <c r="CC33" i="6"/>
  <c r="CD33" i="6"/>
  <c r="CE33" i="6"/>
  <c r="CT33" i="6"/>
  <c r="DC33" i="6"/>
  <c r="AN34" i="6"/>
  <c r="CA34" i="6"/>
  <c r="CB34" i="6"/>
  <c r="CC34" i="6"/>
  <c r="CD34" i="6"/>
  <c r="CE34" i="6"/>
  <c r="CT34" i="6"/>
  <c r="DC34" i="6"/>
  <c r="AN35" i="6"/>
  <c r="CA35" i="6"/>
  <c r="CB35" i="6"/>
  <c r="CC35" i="6"/>
  <c r="CD35" i="6"/>
  <c r="CE35" i="6"/>
  <c r="CT35" i="6"/>
  <c r="DC35" i="6"/>
  <c r="AN36" i="6"/>
  <c r="CA36" i="6"/>
  <c r="CB36" i="6"/>
  <c r="CC36" i="6"/>
  <c r="CD36" i="6"/>
  <c r="CE36" i="6"/>
  <c r="CT36" i="6"/>
  <c r="DC36" i="6"/>
  <c r="AN37" i="6"/>
  <c r="CA37" i="6"/>
  <c r="CB37" i="6"/>
  <c r="CC37" i="6"/>
  <c r="CD37" i="6"/>
  <c r="CE37" i="6"/>
  <c r="CT37" i="6"/>
  <c r="DC37" i="6"/>
  <c r="AN38" i="6"/>
  <c r="CA38" i="6"/>
  <c r="CB38" i="6"/>
  <c r="CC38" i="6"/>
  <c r="CD38" i="6"/>
  <c r="CE38" i="6"/>
  <c r="CT38" i="6"/>
  <c r="DC38" i="6"/>
  <c r="CE42" i="40"/>
  <c r="CE45" i="40"/>
  <c r="AO29" i="11"/>
  <c r="CG29" i="11"/>
  <c r="CH29" i="11"/>
  <c r="CI29" i="11"/>
  <c r="CJ29" i="11"/>
  <c r="CK29" i="11"/>
  <c r="CU29" i="11"/>
  <c r="DD29" i="11"/>
  <c r="AO30" i="11"/>
  <c r="CG30" i="11"/>
  <c r="CH30" i="11"/>
  <c r="CI30" i="11"/>
  <c r="CJ30" i="11"/>
  <c r="CK30" i="11"/>
  <c r="CU30" i="11"/>
  <c r="DD30" i="11"/>
  <c r="AO31" i="11"/>
  <c r="CG31" i="11"/>
  <c r="CH31" i="11"/>
  <c r="CI31" i="11"/>
  <c r="CJ31" i="11"/>
  <c r="CK31" i="11"/>
  <c r="CU31" i="11"/>
  <c r="DD31" i="11"/>
  <c r="AO32" i="11"/>
  <c r="CG32" i="11"/>
  <c r="CH32" i="11"/>
  <c r="CI32" i="11"/>
  <c r="CJ32" i="11"/>
  <c r="CK32" i="11"/>
  <c r="CU32" i="11"/>
  <c r="DD32" i="11"/>
  <c r="AO33" i="11"/>
  <c r="CG33" i="11"/>
  <c r="CH33" i="11"/>
  <c r="CI33" i="11"/>
  <c r="CJ33" i="11"/>
  <c r="CK33" i="11"/>
  <c r="CU33" i="11"/>
  <c r="DD33" i="11"/>
  <c r="AO34" i="11"/>
  <c r="CG34" i="11"/>
  <c r="CH34" i="11"/>
  <c r="CI34" i="11"/>
  <c r="CJ34" i="11"/>
  <c r="CK34" i="11"/>
  <c r="CU34" i="11"/>
  <c r="DD34" i="11"/>
  <c r="AO35" i="11"/>
  <c r="CG35" i="11"/>
  <c r="CH35" i="11"/>
  <c r="CI35" i="11"/>
  <c r="CJ35" i="11"/>
  <c r="CK35" i="11"/>
  <c r="CU35" i="11"/>
  <c r="DD35" i="11"/>
  <c r="AO36" i="11"/>
  <c r="CG36" i="11"/>
  <c r="CH36" i="11"/>
  <c r="CI36" i="11"/>
  <c r="CJ36" i="11"/>
  <c r="CK36" i="11"/>
  <c r="CU36" i="11"/>
  <c r="DD36" i="11"/>
  <c r="AO37" i="11"/>
  <c r="CG37" i="11"/>
  <c r="CH37" i="11"/>
  <c r="CI37" i="11"/>
  <c r="CJ37" i="11"/>
  <c r="CK37" i="11"/>
  <c r="CU37" i="11"/>
  <c r="DD37" i="11"/>
  <c r="AO26" i="6"/>
  <c r="CG26" i="6"/>
  <c r="CH26" i="6"/>
  <c r="CI26" i="6"/>
  <c r="CJ26" i="6"/>
  <c r="CK26" i="6"/>
  <c r="CU26" i="6"/>
  <c r="DD26" i="6"/>
  <c r="AO27" i="6"/>
  <c r="CG27" i="6"/>
  <c r="CH27" i="6"/>
  <c r="CI27" i="6"/>
  <c r="CJ27" i="6"/>
  <c r="CK27" i="6"/>
  <c r="CU27" i="6"/>
  <c r="DD27" i="6"/>
  <c r="AO28" i="6"/>
  <c r="CG28" i="6"/>
  <c r="CH28" i="6"/>
  <c r="CI28" i="6"/>
  <c r="CJ28" i="6"/>
  <c r="CK28" i="6"/>
  <c r="CU28" i="6"/>
  <c r="DD28" i="6"/>
  <c r="AO29" i="6"/>
  <c r="CG29" i="6"/>
  <c r="CH29" i="6"/>
  <c r="CI29" i="6"/>
  <c r="CJ29" i="6"/>
  <c r="CK29" i="6"/>
  <c r="CU29" i="6"/>
  <c r="DD29" i="6"/>
  <c r="AO30" i="6"/>
  <c r="CG30" i="6"/>
  <c r="CH30" i="6"/>
  <c r="CI30" i="6"/>
  <c r="CJ30" i="6"/>
  <c r="CK30" i="6"/>
  <c r="CU30" i="6"/>
  <c r="DD30" i="6"/>
  <c r="AO31" i="6"/>
  <c r="CG31" i="6"/>
  <c r="CH31" i="6"/>
  <c r="CI31" i="6"/>
  <c r="CJ31" i="6"/>
  <c r="CK31" i="6"/>
  <c r="CU31" i="6"/>
  <c r="DD31" i="6"/>
  <c r="AO32" i="6"/>
  <c r="CG32" i="6"/>
  <c r="CH32" i="6"/>
  <c r="CI32" i="6"/>
  <c r="CJ32" i="6"/>
  <c r="CK32" i="6"/>
  <c r="CU32" i="6"/>
  <c r="DD32" i="6"/>
  <c r="AO33" i="6"/>
  <c r="CG33" i="6"/>
  <c r="CH33" i="6"/>
  <c r="CI33" i="6"/>
  <c r="CJ33" i="6"/>
  <c r="CK33" i="6"/>
  <c r="CU33" i="6"/>
  <c r="DD33" i="6"/>
  <c r="AO34" i="6"/>
  <c r="CG34" i="6"/>
  <c r="CH34" i="6"/>
  <c r="CI34" i="6"/>
  <c r="CJ34" i="6"/>
  <c r="CK34" i="6"/>
  <c r="CU34" i="6"/>
  <c r="DD34" i="6"/>
  <c r="AO35" i="6"/>
  <c r="CG35" i="6"/>
  <c r="CH35" i="6"/>
  <c r="CI35" i="6"/>
  <c r="CJ35" i="6"/>
  <c r="CK35" i="6"/>
  <c r="CU35" i="6"/>
  <c r="DD35" i="6"/>
  <c r="AO36" i="6"/>
  <c r="CG36" i="6"/>
  <c r="CH36" i="6"/>
  <c r="CI36" i="6"/>
  <c r="CJ36" i="6"/>
  <c r="CK36" i="6"/>
  <c r="CU36" i="6"/>
  <c r="DD36" i="6"/>
  <c r="AO37" i="6"/>
  <c r="CG37" i="6"/>
  <c r="CH37" i="6"/>
  <c r="CI37" i="6"/>
  <c r="CJ37" i="6"/>
  <c r="CK37" i="6"/>
  <c r="CU37" i="6"/>
  <c r="DD37" i="6"/>
  <c r="AO38" i="6"/>
  <c r="CG38" i="6"/>
  <c r="CH38" i="6"/>
  <c r="CI38" i="6"/>
  <c r="CJ38" i="6"/>
  <c r="CK38" i="6"/>
  <c r="CU38" i="6"/>
  <c r="DD38" i="6"/>
  <c r="CF42" i="40"/>
  <c r="CF45" i="40" s="1"/>
  <c r="AM29" i="11"/>
  <c r="BU29" i="11"/>
  <c r="BV29" i="11"/>
  <c r="BW29" i="11"/>
  <c r="BX29" i="11"/>
  <c r="BY29" i="11"/>
  <c r="CS29" i="11"/>
  <c r="DB29" i="11"/>
  <c r="AM30" i="11"/>
  <c r="BU30" i="11"/>
  <c r="BV30" i="11"/>
  <c r="BW30" i="11"/>
  <c r="BX30" i="11"/>
  <c r="BY30" i="11"/>
  <c r="CS30" i="11"/>
  <c r="DB30" i="11"/>
  <c r="AM31" i="11"/>
  <c r="BU31" i="11"/>
  <c r="BV31" i="11"/>
  <c r="BW31" i="11"/>
  <c r="BX31" i="11"/>
  <c r="BY31" i="11"/>
  <c r="CS31" i="11"/>
  <c r="DB31" i="11"/>
  <c r="AM32" i="11"/>
  <c r="BU32" i="11"/>
  <c r="BV32" i="11"/>
  <c r="BW32" i="11"/>
  <c r="BX32" i="11"/>
  <c r="BY32" i="11"/>
  <c r="CS32" i="11"/>
  <c r="DB32" i="11"/>
  <c r="AM33" i="11"/>
  <c r="BU33" i="11"/>
  <c r="BV33" i="11"/>
  <c r="BW33" i="11"/>
  <c r="BX33" i="11"/>
  <c r="BY33" i="11"/>
  <c r="CS33" i="11"/>
  <c r="DB33" i="11"/>
  <c r="AM34" i="11"/>
  <c r="BU34" i="11"/>
  <c r="BV34" i="11"/>
  <c r="BW34" i="11"/>
  <c r="BX34" i="11"/>
  <c r="BY34" i="11"/>
  <c r="CS34" i="11"/>
  <c r="DB34" i="11"/>
  <c r="AM35" i="11"/>
  <c r="BU35" i="11"/>
  <c r="BV35" i="11"/>
  <c r="BW35" i="11"/>
  <c r="BX35" i="11"/>
  <c r="BZ35" i="11" s="1"/>
  <c r="BY35" i="11"/>
  <c r="CS35" i="11"/>
  <c r="DB35" i="11"/>
  <c r="AM36" i="11"/>
  <c r="BU36" i="11"/>
  <c r="BV36" i="11"/>
  <c r="BW36" i="11"/>
  <c r="BX36" i="11"/>
  <c r="BY36" i="11"/>
  <c r="CS36" i="11"/>
  <c r="DB36" i="11"/>
  <c r="AM37" i="11"/>
  <c r="BU37" i="11"/>
  <c r="BV37" i="11"/>
  <c r="BW37" i="11"/>
  <c r="BX37" i="11"/>
  <c r="BY37" i="11"/>
  <c r="CS37" i="11"/>
  <c r="DB37" i="11"/>
  <c r="AM26" i="6"/>
  <c r="BU26" i="6"/>
  <c r="BV26" i="6"/>
  <c r="BW26" i="6"/>
  <c r="BX26" i="6"/>
  <c r="BY26" i="6"/>
  <c r="CS26" i="6"/>
  <c r="DB26" i="6"/>
  <c r="AM27" i="6"/>
  <c r="BU27" i="6"/>
  <c r="BV27" i="6"/>
  <c r="BW27" i="6"/>
  <c r="BZ27" i="6" s="1"/>
  <c r="DK27" i="6" s="1"/>
  <c r="BX27" i="6"/>
  <c r="BY27" i="6"/>
  <c r="CS27" i="6"/>
  <c r="DB27" i="6"/>
  <c r="AM28" i="6"/>
  <c r="BU28" i="6"/>
  <c r="BV28" i="6"/>
  <c r="BW28" i="6"/>
  <c r="BX28" i="6"/>
  <c r="BY28" i="6"/>
  <c r="CS28" i="6"/>
  <c r="DB28" i="6"/>
  <c r="AM29" i="6"/>
  <c r="BU29" i="6"/>
  <c r="BV29" i="6"/>
  <c r="BW29" i="6"/>
  <c r="BX29" i="6"/>
  <c r="BY29" i="6"/>
  <c r="CS29" i="6"/>
  <c r="DB29" i="6"/>
  <c r="AM30" i="6"/>
  <c r="BU30" i="6"/>
  <c r="BV30" i="6"/>
  <c r="BW30" i="6"/>
  <c r="BX30" i="6"/>
  <c r="BY30" i="6"/>
  <c r="CS30" i="6"/>
  <c r="DB30" i="6"/>
  <c r="AM31" i="6"/>
  <c r="BU31" i="6"/>
  <c r="BV31" i="6"/>
  <c r="BW31" i="6"/>
  <c r="BX31" i="6"/>
  <c r="BY31" i="6"/>
  <c r="CS31" i="6"/>
  <c r="DB31" i="6"/>
  <c r="AM32" i="6"/>
  <c r="BU32" i="6"/>
  <c r="BV32" i="6"/>
  <c r="BW32" i="6"/>
  <c r="BX32" i="6"/>
  <c r="BY32" i="6"/>
  <c r="CS32" i="6"/>
  <c r="DB32" i="6"/>
  <c r="AM33" i="6"/>
  <c r="BU33" i="6"/>
  <c r="BV33" i="6"/>
  <c r="BW33" i="6"/>
  <c r="BX33" i="6"/>
  <c r="BY33" i="6"/>
  <c r="CS33" i="6"/>
  <c r="DB33" i="6"/>
  <c r="AM34" i="6"/>
  <c r="BU34" i="6"/>
  <c r="BV34" i="6"/>
  <c r="BW34" i="6"/>
  <c r="BX34" i="6"/>
  <c r="BY34" i="6"/>
  <c r="CS34" i="6"/>
  <c r="DB34" i="6"/>
  <c r="AM35" i="6"/>
  <c r="BU35" i="6"/>
  <c r="BV35" i="6"/>
  <c r="BW35" i="6"/>
  <c r="BX35" i="6"/>
  <c r="BY35" i="6"/>
  <c r="CS35" i="6"/>
  <c r="DB35" i="6"/>
  <c r="AM36" i="6"/>
  <c r="BU36" i="6"/>
  <c r="BV36" i="6"/>
  <c r="BW36" i="6"/>
  <c r="BX36" i="6"/>
  <c r="BY36" i="6"/>
  <c r="CS36" i="6"/>
  <c r="DB36" i="6"/>
  <c r="AM37" i="6"/>
  <c r="BU37" i="6"/>
  <c r="BV37" i="6"/>
  <c r="BW37" i="6"/>
  <c r="BX37" i="6"/>
  <c r="BY37" i="6"/>
  <c r="CS37" i="6"/>
  <c r="DB37" i="6"/>
  <c r="AM38" i="6"/>
  <c r="BU38" i="6"/>
  <c r="BV38" i="6"/>
  <c r="BW38" i="6"/>
  <c r="BX38" i="6"/>
  <c r="BY38" i="6"/>
  <c r="CS38" i="6"/>
  <c r="DB38" i="6"/>
  <c r="CD42" i="40"/>
  <c r="CD45" i="40" s="1"/>
  <c r="CM42" i="40"/>
  <c r="CM45" i="40" s="1"/>
  <c r="AL29" i="11"/>
  <c r="BO29" i="11"/>
  <c r="BP29" i="11"/>
  <c r="BQ29" i="11"/>
  <c r="BR29" i="11"/>
  <c r="BS29" i="11"/>
  <c r="CR29" i="11"/>
  <c r="DA29" i="11"/>
  <c r="AL30" i="11"/>
  <c r="BO30" i="11"/>
  <c r="BP30" i="11"/>
  <c r="BQ30" i="11"/>
  <c r="BR30" i="11"/>
  <c r="BS30" i="11"/>
  <c r="CR30" i="11"/>
  <c r="DA30" i="11"/>
  <c r="AL31" i="11"/>
  <c r="BO31" i="11"/>
  <c r="BP31" i="11"/>
  <c r="BQ31" i="11"/>
  <c r="BR31" i="11"/>
  <c r="BS31" i="11"/>
  <c r="CR31" i="11"/>
  <c r="DA31" i="11"/>
  <c r="AL32" i="11"/>
  <c r="BO32" i="11"/>
  <c r="BP32" i="11"/>
  <c r="BQ32" i="11"/>
  <c r="BR32" i="11"/>
  <c r="BS32" i="11"/>
  <c r="CR32" i="11"/>
  <c r="DA32" i="11"/>
  <c r="AL33" i="11"/>
  <c r="BO33" i="11"/>
  <c r="BP33" i="11"/>
  <c r="BQ33" i="11"/>
  <c r="BR33" i="11"/>
  <c r="BS33" i="11"/>
  <c r="CR33" i="11"/>
  <c r="DA33" i="11"/>
  <c r="AL34" i="11"/>
  <c r="BO34" i="11"/>
  <c r="BP34" i="11"/>
  <c r="BQ34" i="11"/>
  <c r="BR34" i="11"/>
  <c r="BS34" i="11"/>
  <c r="CR34" i="11"/>
  <c r="DA34" i="11"/>
  <c r="AL35" i="11"/>
  <c r="BO35" i="11"/>
  <c r="BP35" i="11"/>
  <c r="BQ35" i="11"/>
  <c r="BR35" i="11"/>
  <c r="BS35" i="11"/>
  <c r="CR35" i="11"/>
  <c r="DA35" i="11"/>
  <c r="AL36" i="11"/>
  <c r="BO36" i="11"/>
  <c r="BP36" i="11"/>
  <c r="BQ36" i="11"/>
  <c r="BR36" i="11"/>
  <c r="BS36" i="11"/>
  <c r="CR36" i="11"/>
  <c r="DA36" i="11"/>
  <c r="AL37" i="11"/>
  <c r="BO37" i="11"/>
  <c r="BP37" i="11"/>
  <c r="BQ37" i="11"/>
  <c r="BR37" i="11"/>
  <c r="BS37" i="11"/>
  <c r="CR37" i="11"/>
  <c r="DA37" i="11"/>
  <c r="AL26" i="6"/>
  <c r="BO26" i="6"/>
  <c r="BP26" i="6"/>
  <c r="BQ26" i="6"/>
  <c r="BR26" i="6"/>
  <c r="BS26" i="6"/>
  <c r="CR26" i="6"/>
  <c r="DA26" i="6"/>
  <c r="AL27" i="6"/>
  <c r="BO27" i="6"/>
  <c r="BP27" i="6"/>
  <c r="BQ27" i="6"/>
  <c r="BR27" i="6"/>
  <c r="BS27" i="6"/>
  <c r="CR27" i="6"/>
  <c r="DA27" i="6"/>
  <c r="AL28" i="6"/>
  <c r="BO28" i="6"/>
  <c r="BP28" i="6"/>
  <c r="BQ28" i="6"/>
  <c r="BR28" i="6"/>
  <c r="BS28" i="6"/>
  <c r="CR28" i="6"/>
  <c r="DA28" i="6"/>
  <c r="AL29" i="6"/>
  <c r="BO29" i="6"/>
  <c r="BP29" i="6"/>
  <c r="BQ29" i="6"/>
  <c r="BR29" i="6"/>
  <c r="BS29" i="6"/>
  <c r="CR29" i="6"/>
  <c r="DA29" i="6"/>
  <c r="AL30" i="6"/>
  <c r="BO30" i="6"/>
  <c r="BP30" i="6"/>
  <c r="BQ30" i="6"/>
  <c r="BR30" i="6"/>
  <c r="BS30" i="6"/>
  <c r="CR30" i="6"/>
  <c r="DA30" i="6"/>
  <c r="AL31" i="6"/>
  <c r="BO31" i="6"/>
  <c r="BP31" i="6"/>
  <c r="BQ31" i="6"/>
  <c r="BR31" i="6"/>
  <c r="BS31" i="6"/>
  <c r="CR31" i="6"/>
  <c r="DA31" i="6"/>
  <c r="AL32" i="6"/>
  <c r="BO32" i="6"/>
  <c r="BP32" i="6"/>
  <c r="BQ32" i="6"/>
  <c r="BR32" i="6"/>
  <c r="BS32" i="6"/>
  <c r="CR32" i="6"/>
  <c r="DA32" i="6"/>
  <c r="AL33" i="6"/>
  <c r="BO33" i="6"/>
  <c r="BP33" i="6"/>
  <c r="BQ33" i="6"/>
  <c r="BR33" i="6"/>
  <c r="BS33" i="6"/>
  <c r="CR33" i="6"/>
  <c r="DA33" i="6"/>
  <c r="AL34" i="6"/>
  <c r="BO34" i="6"/>
  <c r="BP34" i="6"/>
  <c r="BQ34" i="6"/>
  <c r="BR34" i="6"/>
  <c r="BS34" i="6"/>
  <c r="CR34" i="6"/>
  <c r="DA34" i="6"/>
  <c r="AL35" i="6"/>
  <c r="BO35" i="6"/>
  <c r="BP35" i="6"/>
  <c r="BQ35" i="6"/>
  <c r="BR35" i="6"/>
  <c r="BS35" i="6"/>
  <c r="CR35" i="6"/>
  <c r="DA35" i="6"/>
  <c r="AL36" i="6"/>
  <c r="BO36" i="6"/>
  <c r="BP36" i="6"/>
  <c r="BQ36" i="6"/>
  <c r="BR36" i="6"/>
  <c r="BS36" i="6"/>
  <c r="CR36" i="6"/>
  <c r="DA36" i="6"/>
  <c r="AL37" i="6"/>
  <c r="BO37" i="6"/>
  <c r="BP37" i="6"/>
  <c r="BQ37" i="6"/>
  <c r="BR37" i="6"/>
  <c r="BS37" i="6"/>
  <c r="CR37" i="6"/>
  <c r="DA37" i="6"/>
  <c r="AL38" i="6"/>
  <c r="BO38" i="6"/>
  <c r="BP38" i="6"/>
  <c r="BQ38" i="6"/>
  <c r="BR38" i="6"/>
  <c r="BS38" i="6"/>
  <c r="CR38" i="6"/>
  <c r="DA38" i="6"/>
  <c r="CC42" i="40"/>
  <c r="CC45" i="40" s="1"/>
  <c r="CL42" i="40"/>
  <c r="CL45" i="40" s="1"/>
  <c r="S5" i="55"/>
  <c r="AK5" i="55"/>
  <c r="H23" i="29"/>
  <c r="CZ16" i="5"/>
  <c r="CZ17" i="5"/>
  <c r="CZ21" i="5"/>
  <c r="CZ20" i="5"/>
  <c r="CZ19" i="5"/>
  <c r="CZ18" i="5"/>
  <c r="DD5" i="5"/>
  <c r="DC5" i="5"/>
  <c r="DA5" i="5"/>
  <c r="CZ5" i="5"/>
  <c r="AH26" i="6"/>
  <c r="AQ26" i="6"/>
  <c r="AR26" i="6"/>
  <c r="AS26" i="6"/>
  <c r="AT26" i="6"/>
  <c r="AU26" i="6"/>
  <c r="CN26" i="6"/>
  <c r="CW26" i="6"/>
  <c r="AH27" i="6"/>
  <c r="AQ27" i="6"/>
  <c r="AR27" i="6"/>
  <c r="AS27" i="6"/>
  <c r="AT27" i="6"/>
  <c r="AU27" i="6"/>
  <c r="CN27" i="6"/>
  <c r="CW27" i="6"/>
  <c r="AH28" i="6"/>
  <c r="AQ28" i="6"/>
  <c r="AR28" i="6"/>
  <c r="AS28" i="6"/>
  <c r="AT28" i="6"/>
  <c r="AU28" i="6"/>
  <c r="CN28" i="6"/>
  <c r="CW28" i="6"/>
  <c r="AH29" i="6"/>
  <c r="AQ29" i="6"/>
  <c r="AR29" i="6"/>
  <c r="AS29" i="6"/>
  <c r="AT29" i="6"/>
  <c r="AU29" i="6"/>
  <c r="CN29" i="6"/>
  <c r="CW29" i="6"/>
  <c r="AH30" i="6"/>
  <c r="AQ30" i="6"/>
  <c r="AR30" i="6"/>
  <c r="AS30" i="6"/>
  <c r="AT30" i="6"/>
  <c r="AU30" i="6"/>
  <c r="CN30" i="6"/>
  <c r="CW30" i="6"/>
  <c r="AH31" i="6"/>
  <c r="AQ31" i="6"/>
  <c r="AR31" i="6"/>
  <c r="AS31" i="6"/>
  <c r="AT31" i="6"/>
  <c r="AU31" i="6"/>
  <c r="CN31" i="6"/>
  <c r="CW31" i="6"/>
  <c r="AH32" i="6"/>
  <c r="AQ32" i="6"/>
  <c r="AR32" i="6"/>
  <c r="AS32" i="6"/>
  <c r="AT32" i="6"/>
  <c r="AU32" i="6"/>
  <c r="CN32" i="6"/>
  <c r="CW32" i="6"/>
  <c r="AH33" i="6"/>
  <c r="AQ33" i="6"/>
  <c r="AR33" i="6"/>
  <c r="AS33" i="6"/>
  <c r="AT33" i="6"/>
  <c r="AU33" i="6"/>
  <c r="CN33" i="6"/>
  <c r="CW33" i="6"/>
  <c r="AH34" i="6"/>
  <c r="AQ34" i="6"/>
  <c r="AR34" i="6"/>
  <c r="AS34" i="6"/>
  <c r="AT34" i="6"/>
  <c r="AU34" i="6"/>
  <c r="CN34" i="6"/>
  <c r="CW34" i="6"/>
  <c r="AH35" i="6"/>
  <c r="AQ35" i="6"/>
  <c r="AR35" i="6"/>
  <c r="AS35" i="6"/>
  <c r="AT35" i="6"/>
  <c r="AU35" i="6"/>
  <c r="CN35" i="6"/>
  <c r="CW35" i="6"/>
  <c r="AH36" i="6"/>
  <c r="AQ36" i="6"/>
  <c r="AR36" i="6"/>
  <c r="AS36" i="6"/>
  <c r="AT36" i="6"/>
  <c r="AU36" i="6"/>
  <c r="CN36" i="6"/>
  <c r="CW36" i="6"/>
  <c r="AH37" i="6"/>
  <c r="AQ37" i="6"/>
  <c r="AR37" i="6"/>
  <c r="AS37" i="6"/>
  <c r="AT37" i="6"/>
  <c r="AU37" i="6"/>
  <c r="CN37" i="6"/>
  <c r="CW37" i="6"/>
  <c r="AH38" i="6"/>
  <c r="AQ38" i="6"/>
  <c r="AR38" i="6"/>
  <c r="AS38" i="6"/>
  <c r="AT38" i="6"/>
  <c r="AU38" i="6"/>
  <c r="CN38" i="6"/>
  <c r="CW38" i="6"/>
  <c r="AI26" i="6"/>
  <c r="AW26" i="6"/>
  <c r="AX26" i="6"/>
  <c r="AY26" i="6"/>
  <c r="AZ26" i="6"/>
  <c r="BA26" i="6"/>
  <c r="CO26" i="6"/>
  <c r="CX26" i="6"/>
  <c r="AI27" i="6"/>
  <c r="AW27" i="6"/>
  <c r="AX27" i="6"/>
  <c r="AY27" i="6"/>
  <c r="AZ27" i="6"/>
  <c r="BA27" i="6"/>
  <c r="CO27" i="6"/>
  <c r="CX27" i="6"/>
  <c r="AI28" i="6"/>
  <c r="AW28" i="6"/>
  <c r="AX28" i="6"/>
  <c r="AY28" i="6"/>
  <c r="AZ28" i="6"/>
  <c r="BA28" i="6"/>
  <c r="CO28" i="6"/>
  <c r="CX28" i="6"/>
  <c r="AI29" i="6"/>
  <c r="AW29" i="6"/>
  <c r="AX29" i="6"/>
  <c r="AY29" i="6"/>
  <c r="AZ29" i="6"/>
  <c r="BA29" i="6"/>
  <c r="CO29" i="6"/>
  <c r="CX29" i="6"/>
  <c r="AI30" i="6"/>
  <c r="AW30" i="6"/>
  <c r="AX30" i="6"/>
  <c r="AY30" i="6"/>
  <c r="AZ30" i="6"/>
  <c r="BA30" i="6"/>
  <c r="CO30" i="6"/>
  <c r="CX30" i="6"/>
  <c r="AI31" i="6"/>
  <c r="AW31" i="6"/>
  <c r="AX31" i="6"/>
  <c r="AY31" i="6"/>
  <c r="AZ31" i="6"/>
  <c r="BA31" i="6"/>
  <c r="CO31" i="6"/>
  <c r="CX31" i="6"/>
  <c r="AI32" i="6"/>
  <c r="AW32" i="6"/>
  <c r="AX32" i="6"/>
  <c r="AY32" i="6"/>
  <c r="AZ32" i="6"/>
  <c r="BA32" i="6"/>
  <c r="CO32" i="6"/>
  <c r="CX32" i="6"/>
  <c r="AI33" i="6"/>
  <c r="AW33" i="6"/>
  <c r="AX33" i="6"/>
  <c r="AY33" i="6"/>
  <c r="AZ33" i="6"/>
  <c r="BA33" i="6"/>
  <c r="CO33" i="6"/>
  <c r="CX33" i="6"/>
  <c r="AI34" i="6"/>
  <c r="AW34" i="6"/>
  <c r="AX34" i="6"/>
  <c r="AY34" i="6"/>
  <c r="AZ34" i="6"/>
  <c r="BA34" i="6"/>
  <c r="CO34" i="6"/>
  <c r="CX34" i="6"/>
  <c r="AI35" i="6"/>
  <c r="AW35" i="6"/>
  <c r="AX35" i="6"/>
  <c r="AY35" i="6"/>
  <c r="AZ35" i="6"/>
  <c r="BA35" i="6"/>
  <c r="CO35" i="6"/>
  <c r="CX35" i="6"/>
  <c r="AI36" i="6"/>
  <c r="AW36" i="6"/>
  <c r="AX36" i="6"/>
  <c r="AY36" i="6"/>
  <c r="AZ36" i="6"/>
  <c r="BA36" i="6"/>
  <c r="CO36" i="6"/>
  <c r="CX36" i="6"/>
  <c r="AI37" i="6"/>
  <c r="AW37" i="6"/>
  <c r="AX37" i="6"/>
  <c r="AY37" i="6"/>
  <c r="AZ37" i="6"/>
  <c r="BA37" i="6"/>
  <c r="CO37" i="6"/>
  <c r="CX37" i="6"/>
  <c r="AI38" i="6"/>
  <c r="AW38" i="6"/>
  <c r="AX38" i="6"/>
  <c r="AY38" i="6"/>
  <c r="AZ38" i="6"/>
  <c r="BA38" i="6"/>
  <c r="CO38" i="6"/>
  <c r="CX38" i="6"/>
  <c r="J12" i="28"/>
  <c r="J18" i="28"/>
  <c r="K18" i="28"/>
  <c r="L18" i="28"/>
  <c r="M18" i="28"/>
  <c r="N18" i="28"/>
  <c r="O18" i="28"/>
  <c r="CO37" i="11"/>
  <c r="CN37" i="11"/>
  <c r="CO36" i="11"/>
  <c r="CN36" i="11"/>
  <c r="AH36" i="11"/>
  <c r="AQ36" i="11"/>
  <c r="AR36" i="11"/>
  <c r="AS36" i="11"/>
  <c r="AT36" i="11"/>
  <c r="AU36" i="11"/>
  <c r="CW36" i="11"/>
  <c r="CO35" i="11"/>
  <c r="CN35" i="11"/>
  <c r="CO34" i="11"/>
  <c r="CN34" i="11"/>
  <c r="CO33" i="11"/>
  <c r="CN33" i="11"/>
  <c r="CO32" i="11"/>
  <c r="AI32" i="11"/>
  <c r="AW32" i="11"/>
  <c r="AX32" i="11"/>
  <c r="AY32" i="11"/>
  <c r="AZ32" i="11"/>
  <c r="BA32" i="11"/>
  <c r="CX32" i="11"/>
  <c r="CN32" i="11"/>
  <c r="CO31" i="11"/>
  <c r="CN31" i="11"/>
  <c r="CO30" i="11"/>
  <c r="CN30" i="11"/>
  <c r="CO29" i="11"/>
  <c r="CN29" i="11"/>
  <c r="K31" i="28"/>
  <c r="L31" i="28"/>
  <c r="M31" i="28"/>
  <c r="D37" i="1"/>
  <c r="D27" i="1"/>
  <c r="H24" i="29"/>
  <c r="BJ36" i="55"/>
  <c r="BI36" i="55"/>
  <c r="BH36" i="55"/>
  <c r="BG36" i="55"/>
  <c r="BF36" i="55"/>
  <c r="BD36" i="55"/>
  <c r="BC36" i="55"/>
  <c r="BJ35" i="55"/>
  <c r="BI35" i="55"/>
  <c r="BH35" i="55"/>
  <c r="BG35" i="55"/>
  <c r="BF35" i="55"/>
  <c r="BD35" i="55"/>
  <c r="BC35" i="55"/>
  <c r="BJ34" i="55"/>
  <c r="BI34" i="55"/>
  <c r="BH34" i="55"/>
  <c r="BG34" i="55"/>
  <c r="BF34" i="55"/>
  <c r="BD34" i="55"/>
  <c r="BC34" i="55"/>
  <c r="BJ33" i="55"/>
  <c r="BI33" i="55"/>
  <c r="BH33" i="55"/>
  <c r="BG33" i="55"/>
  <c r="BF33" i="55"/>
  <c r="BD33" i="55"/>
  <c r="BC33" i="55"/>
  <c r="BJ32" i="55"/>
  <c r="BI32" i="55"/>
  <c r="BH32" i="55"/>
  <c r="BG32" i="55"/>
  <c r="BF32" i="55"/>
  <c r="BD32" i="55"/>
  <c r="BC32" i="55"/>
  <c r="BJ31" i="55"/>
  <c r="BI31" i="55"/>
  <c r="BH31" i="55"/>
  <c r="BG31" i="55"/>
  <c r="BF31" i="55"/>
  <c r="BD31" i="55"/>
  <c r="BC31" i="55"/>
  <c r="BJ30" i="55"/>
  <c r="BI30" i="55"/>
  <c r="BH30" i="55"/>
  <c r="BG30" i="55"/>
  <c r="BF30" i="55"/>
  <c r="BD30" i="55"/>
  <c r="BC30" i="55"/>
  <c r="BJ29" i="55"/>
  <c r="BI29" i="55"/>
  <c r="BH29" i="55"/>
  <c r="BG29" i="55"/>
  <c r="BF29" i="55"/>
  <c r="BD29" i="55"/>
  <c r="BC29" i="55"/>
  <c r="BJ28" i="55"/>
  <c r="BI28" i="55"/>
  <c r="BH28" i="55"/>
  <c r="BG28" i="55"/>
  <c r="BF28" i="55"/>
  <c r="BD28" i="55"/>
  <c r="BC28" i="55"/>
  <c r="BJ27" i="55"/>
  <c r="BI27" i="55"/>
  <c r="BH27" i="55"/>
  <c r="BG27" i="55"/>
  <c r="BF27" i="55"/>
  <c r="BD27" i="55"/>
  <c r="BC27" i="55"/>
  <c r="BJ26" i="55"/>
  <c r="BI26" i="55"/>
  <c r="BH26" i="55"/>
  <c r="BG26" i="55"/>
  <c r="BF26" i="55"/>
  <c r="BD26" i="55"/>
  <c r="BC26" i="55"/>
  <c r="BJ25" i="55"/>
  <c r="BI25" i="55"/>
  <c r="BH25" i="55"/>
  <c r="BG25" i="55"/>
  <c r="BF25" i="55"/>
  <c r="BD25" i="55"/>
  <c r="BC25" i="55"/>
  <c r="BJ24" i="55"/>
  <c r="BI24" i="55"/>
  <c r="BH24" i="55"/>
  <c r="BG24" i="55"/>
  <c r="BF24" i="55"/>
  <c r="BD24" i="55"/>
  <c r="BC24" i="55"/>
  <c r="BJ23" i="55"/>
  <c r="BI23" i="55"/>
  <c r="BH23" i="55"/>
  <c r="BG23" i="55"/>
  <c r="BF23" i="55"/>
  <c r="BD23" i="55"/>
  <c r="BC23" i="55"/>
  <c r="BJ9" i="55"/>
  <c r="BI9" i="55"/>
  <c r="BH9" i="55"/>
  <c r="BG9" i="55"/>
  <c r="BF9" i="55"/>
  <c r="BD9" i="55"/>
  <c r="BC9" i="55"/>
  <c r="BD8" i="55"/>
  <c r="BC7" i="55"/>
  <c r="J37" i="55"/>
  <c r="BC8" i="55"/>
  <c r="BC6" i="55"/>
  <c r="BD7" i="55"/>
  <c r="BD6" i="55"/>
  <c r="BG6" i="55"/>
  <c r="BG8" i="55"/>
  <c r="BJ6" i="55"/>
  <c r="BH8" i="55"/>
  <c r="BG7" i="55"/>
  <c r="BF8" i="55"/>
  <c r="BF6" i="55"/>
  <c r="BI6" i="55"/>
  <c r="BI8" i="55"/>
  <c r="BH7" i="55"/>
  <c r="BH6" i="55"/>
  <c r="BJ7" i="55"/>
  <c r="BJ8" i="55"/>
  <c r="BI7" i="55"/>
  <c r="BF7" i="55"/>
  <c r="P37" i="17"/>
  <c r="H12" i="1"/>
  <c r="L41" i="53"/>
  <c r="H8" i="1"/>
  <c r="BT4" i="52"/>
  <c r="BJ25" i="52"/>
  <c r="BJ23" i="52"/>
  <c r="BJ4" i="52"/>
  <c r="AY39" i="54"/>
  <c r="AX39" i="54"/>
  <c r="AW39" i="54"/>
  <c r="AV39" i="54"/>
  <c r="AU39" i="54"/>
  <c r="AS39" i="54"/>
  <c r="AR39" i="54"/>
  <c r="AZ40" i="54"/>
  <c r="AZ17" i="54"/>
  <c r="V4" i="52"/>
  <c r="AZ38" i="54"/>
  <c r="AZ36" i="54"/>
  <c r="AP42" i="54"/>
  <c r="AP4" i="54"/>
  <c r="V42" i="54"/>
  <c r="AX13" i="54"/>
  <c r="BH13" i="54" s="1"/>
  <c r="AV13" i="54"/>
  <c r="BF13" i="54" s="1"/>
  <c r="V4" i="54"/>
  <c r="BQ42" i="54"/>
  <c r="BJ42" i="54"/>
  <c r="AZ42" i="54"/>
  <c r="L42" i="54"/>
  <c r="BJ4" i="54"/>
  <c r="AZ4" i="54"/>
  <c r="L4" i="54"/>
  <c r="V32" i="53"/>
  <c r="L32" i="53"/>
  <c r="AF32" i="53"/>
  <c r="V6" i="53"/>
  <c r="L6" i="53"/>
  <c r="AF6" i="53"/>
  <c r="N4" i="53"/>
  <c r="N3" i="53"/>
  <c r="D4" i="53"/>
  <c r="D3" i="53"/>
  <c r="D10" i="53"/>
  <c r="D36" i="53" s="1"/>
  <c r="AZ4" i="52"/>
  <c r="AF4" i="52"/>
  <c r="AI29" i="11"/>
  <c r="AW29" i="11"/>
  <c r="AX29" i="11"/>
  <c r="AY29" i="11"/>
  <c r="AZ29" i="11"/>
  <c r="BA29" i="11"/>
  <c r="CX29" i="11"/>
  <c r="AI30" i="11"/>
  <c r="AW30" i="11"/>
  <c r="AX30" i="11"/>
  <c r="AY30" i="11"/>
  <c r="AZ30" i="11"/>
  <c r="BA30" i="11"/>
  <c r="CX30" i="11"/>
  <c r="AI31" i="11"/>
  <c r="AW31" i="11"/>
  <c r="AX31" i="11"/>
  <c r="AY31" i="11"/>
  <c r="AZ31" i="11"/>
  <c r="BA31" i="11"/>
  <c r="CX31" i="11"/>
  <c r="AI33" i="11"/>
  <c r="AW33" i="11"/>
  <c r="AX33" i="11"/>
  <c r="AY33" i="11"/>
  <c r="AZ33" i="11"/>
  <c r="BA33" i="11"/>
  <c r="CX33" i="11"/>
  <c r="AI34" i="11"/>
  <c r="AW34" i="11"/>
  <c r="AX34" i="11"/>
  <c r="AY34" i="11"/>
  <c r="AZ34" i="11"/>
  <c r="BA34" i="11"/>
  <c r="CX34" i="11"/>
  <c r="AI35" i="11"/>
  <c r="AW35" i="11"/>
  <c r="AX35" i="11"/>
  <c r="AY35" i="11"/>
  <c r="AZ35" i="11"/>
  <c r="BA35" i="11"/>
  <c r="CX35" i="11"/>
  <c r="AI36" i="11"/>
  <c r="AW36" i="11"/>
  <c r="AX36" i="11"/>
  <c r="AY36" i="11"/>
  <c r="AZ36" i="11"/>
  <c r="BA36" i="11"/>
  <c r="CX36" i="11"/>
  <c r="AI37" i="11"/>
  <c r="AW37" i="11"/>
  <c r="AX37" i="11"/>
  <c r="AY37" i="11"/>
  <c r="AZ37" i="11"/>
  <c r="BA37" i="11"/>
  <c r="CX37" i="11"/>
  <c r="AH29" i="11"/>
  <c r="AQ29" i="11"/>
  <c r="AR29" i="11"/>
  <c r="AS29" i="11"/>
  <c r="AT29" i="11"/>
  <c r="AU29" i="11"/>
  <c r="CW29" i="11"/>
  <c r="AH30" i="11"/>
  <c r="AQ30" i="11"/>
  <c r="AR30" i="11"/>
  <c r="AS30" i="11"/>
  <c r="AT30" i="11"/>
  <c r="AU30" i="11"/>
  <c r="CW30" i="11"/>
  <c r="AH31" i="11"/>
  <c r="AQ31" i="11"/>
  <c r="AR31" i="11"/>
  <c r="AS31" i="11"/>
  <c r="AT31" i="11"/>
  <c r="AU31" i="11"/>
  <c r="CW31" i="11"/>
  <c r="AH32" i="11"/>
  <c r="AQ32" i="11"/>
  <c r="AR32" i="11"/>
  <c r="AS32" i="11"/>
  <c r="AT32" i="11"/>
  <c r="AU32" i="11"/>
  <c r="CW32" i="11"/>
  <c r="AH33" i="11"/>
  <c r="AQ33" i="11"/>
  <c r="AR33" i="11"/>
  <c r="AS33" i="11"/>
  <c r="AT33" i="11"/>
  <c r="AU33" i="11"/>
  <c r="CW33" i="11"/>
  <c r="AH34" i="11"/>
  <c r="AQ34" i="11"/>
  <c r="AR34" i="11"/>
  <c r="AS34" i="11"/>
  <c r="AT34" i="11"/>
  <c r="AU34" i="11"/>
  <c r="CW34" i="11"/>
  <c r="AH35" i="11"/>
  <c r="AQ35" i="11"/>
  <c r="AR35" i="11"/>
  <c r="AS35" i="11"/>
  <c r="AT35" i="11"/>
  <c r="AU35" i="11"/>
  <c r="CW35" i="11"/>
  <c r="AH37" i="11"/>
  <c r="AQ37" i="11"/>
  <c r="AR37" i="11"/>
  <c r="AS37" i="11"/>
  <c r="AT37" i="11"/>
  <c r="AU37" i="11"/>
  <c r="CW37" i="11"/>
  <c r="L4" i="52"/>
  <c r="DE36" i="47"/>
  <c r="DE35" i="47"/>
  <c r="DE34" i="47"/>
  <c r="DE33" i="47"/>
  <c r="DE32" i="47"/>
  <c r="DE31" i="47"/>
  <c r="DE30" i="47"/>
  <c r="DE22" i="47"/>
  <c r="DE7" i="47"/>
  <c r="DE6" i="47"/>
  <c r="I68" i="29"/>
  <c r="P40" i="17"/>
  <c r="L8" i="20"/>
  <c r="P38" i="17"/>
  <c r="P36" i="17"/>
  <c r="P30" i="17"/>
  <c r="P29" i="17"/>
  <c r="P26" i="17"/>
  <c r="P25" i="17"/>
  <c r="P24" i="17"/>
  <c r="P23" i="17"/>
  <c r="P20" i="17"/>
  <c r="P19" i="17"/>
  <c r="P18" i="17"/>
  <c r="P17" i="17"/>
  <c r="P16" i="17"/>
  <c r="P13" i="17"/>
  <c r="P12" i="17"/>
  <c r="P8" i="17"/>
  <c r="G40" i="23"/>
  <c r="F40" i="23"/>
  <c r="E40" i="23"/>
  <c r="D40" i="23"/>
  <c r="T31" i="23"/>
  <c r="T19" i="23"/>
  <c r="T7" i="23"/>
  <c r="BJ23" i="13"/>
  <c r="BI23" i="13"/>
  <c r="BH23" i="13"/>
  <c r="BG23" i="13"/>
  <c r="BF23" i="13"/>
  <c r="BD23" i="13"/>
  <c r="BC23" i="13"/>
  <c r="BJ22" i="13"/>
  <c r="BI22" i="13"/>
  <c r="BH22" i="13"/>
  <c r="BG22" i="13"/>
  <c r="BF22" i="13"/>
  <c r="BD22" i="13"/>
  <c r="BC22" i="13"/>
  <c r="BJ21" i="13"/>
  <c r="BI21" i="13"/>
  <c r="BH21" i="13"/>
  <c r="BG21" i="13"/>
  <c r="BF21" i="13"/>
  <c r="BD21" i="13"/>
  <c r="BC21" i="13"/>
  <c r="BJ20" i="13"/>
  <c r="BI20" i="13"/>
  <c r="BH20" i="13"/>
  <c r="BG20" i="13"/>
  <c r="BF20" i="13"/>
  <c r="BD20" i="13"/>
  <c r="BC20" i="13"/>
  <c r="BJ12" i="13"/>
  <c r="BI12" i="13"/>
  <c r="BH12" i="13"/>
  <c r="BG12" i="13"/>
  <c r="BF12" i="13"/>
  <c r="BD12" i="13"/>
  <c r="BC12" i="13"/>
  <c r="K37" i="4"/>
  <c r="F5" i="17"/>
  <c r="J5" i="4"/>
  <c r="K5" i="4"/>
  <c r="CT51" i="12"/>
  <c r="K37" i="8"/>
  <c r="CR44" i="40"/>
  <c r="CR43" i="40"/>
  <c r="CR36" i="40"/>
  <c r="CR35" i="40"/>
  <c r="CR34" i="40"/>
  <c r="CR33" i="40"/>
  <c r="CR32" i="40"/>
  <c r="CR31" i="40"/>
  <c r="CR30" i="40"/>
  <c r="CR29" i="40"/>
  <c r="CR28" i="40"/>
  <c r="CR27" i="40"/>
  <c r="CR26" i="40"/>
  <c r="CR25" i="40"/>
  <c r="CR24" i="40"/>
  <c r="CR23" i="40"/>
  <c r="CR22" i="40"/>
  <c r="CR21" i="40"/>
  <c r="CR20" i="40"/>
  <c r="K45" i="40"/>
  <c r="K37" i="40"/>
  <c r="CR36" i="9"/>
  <c r="CR35" i="9"/>
  <c r="CR34" i="9"/>
  <c r="CR33" i="9"/>
  <c r="CR32" i="9"/>
  <c r="CR31" i="9"/>
  <c r="CR30" i="9"/>
  <c r="CR29" i="9"/>
  <c r="CR28" i="9"/>
  <c r="CR27" i="9"/>
  <c r="CR26" i="9"/>
  <c r="CR25" i="9"/>
  <c r="CR24" i="9"/>
  <c r="CR23" i="9"/>
  <c r="CR22" i="9"/>
  <c r="CR21" i="9"/>
  <c r="CR20" i="9"/>
  <c r="CR19" i="9"/>
  <c r="CR18" i="9"/>
  <c r="CR36" i="8"/>
  <c r="CR35" i="8"/>
  <c r="CR34" i="8"/>
  <c r="CR33" i="8"/>
  <c r="CR32" i="8"/>
  <c r="CR31" i="8"/>
  <c r="CR30" i="8"/>
  <c r="CR26" i="8"/>
  <c r="CR36" i="4"/>
  <c r="CR35" i="4"/>
  <c r="CR34" i="4"/>
  <c r="CR33" i="4"/>
  <c r="CR32" i="4"/>
  <c r="CR36" i="5"/>
  <c r="CR35" i="5"/>
  <c r="CR34" i="5"/>
  <c r="CR33" i="5"/>
  <c r="CR32" i="5"/>
  <c r="CR31" i="5"/>
  <c r="CR30" i="5"/>
  <c r="CR29" i="5"/>
  <c r="CR28" i="5"/>
  <c r="CR27" i="5"/>
  <c r="CR26" i="5"/>
  <c r="CR25" i="5"/>
  <c r="CR24" i="5"/>
  <c r="CR23" i="5"/>
  <c r="CR22" i="5"/>
  <c r="U38" i="6"/>
  <c r="U37" i="6"/>
  <c r="U36" i="6"/>
  <c r="U35" i="6"/>
  <c r="U34" i="6"/>
  <c r="U33" i="6"/>
  <c r="U32" i="6"/>
  <c r="U31" i="6"/>
  <c r="U30" i="6"/>
  <c r="U29" i="6"/>
  <c r="U28" i="6"/>
  <c r="U27" i="6"/>
  <c r="U26" i="6"/>
  <c r="CT37" i="12"/>
  <c r="CT36" i="12"/>
  <c r="CT35" i="12"/>
  <c r="CT34" i="12"/>
  <c r="CT33" i="12"/>
  <c r="CT32" i="12"/>
  <c r="CT31" i="12"/>
  <c r="CT30" i="12"/>
  <c r="CT29" i="12"/>
  <c r="CT28" i="12"/>
  <c r="CT27" i="12"/>
  <c r="CT26" i="12"/>
  <c r="CT25" i="12"/>
  <c r="CT24" i="12"/>
  <c r="CT23" i="12"/>
  <c r="CT22" i="12"/>
  <c r="CT21" i="12"/>
  <c r="CT20" i="12"/>
  <c r="CT19" i="12"/>
  <c r="CT18" i="12"/>
  <c r="CT17" i="12"/>
  <c r="CT16" i="12"/>
  <c r="CT15" i="12"/>
  <c r="CT14" i="12"/>
  <c r="CT13" i="12"/>
  <c r="CT12" i="12"/>
  <c r="CT11" i="12"/>
  <c r="CT10" i="12"/>
  <c r="CT9" i="12"/>
  <c r="CT8" i="12"/>
  <c r="CT7" i="12"/>
  <c r="CL38" i="12"/>
  <c r="CD38" i="12"/>
  <c r="AE38" i="12"/>
  <c r="R38" i="12"/>
  <c r="AW38" i="12"/>
  <c r="AV38" i="12"/>
  <c r="AU38" i="12"/>
  <c r="AT38" i="12"/>
  <c r="AS38" i="12"/>
  <c r="AR38" i="12"/>
  <c r="F12" i="28"/>
  <c r="G12" i="28"/>
  <c r="H12" i="28"/>
  <c r="I12" i="28"/>
  <c r="E12" i="28"/>
  <c r="D25" i="41"/>
  <c r="CA38" i="12"/>
  <c r="BZ38" i="12"/>
  <c r="BY38" i="12"/>
  <c r="BX38" i="12"/>
  <c r="BW38" i="12"/>
  <c r="BV38" i="12"/>
  <c r="BU38" i="12"/>
  <c r="BT38" i="12"/>
  <c r="BS38" i="12"/>
  <c r="BR38" i="12"/>
  <c r="BQ38" i="12"/>
  <c r="BP38" i="12"/>
  <c r="BO38" i="12"/>
  <c r="BN38" i="12"/>
  <c r="BM38" i="12"/>
  <c r="BL38" i="12"/>
  <c r="BK38" i="12"/>
  <c r="BJ38" i="12"/>
  <c r="BI38" i="12"/>
  <c r="BH38" i="12"/>
  <c r="BG38" i="12"/>
  <c r="BF38" i="12"/>
  <c r="BE38" i="12"/>
  <c r="BD38" i="12"/>
  <c r="BB38" i="12"/>
  <c r="BA38" i="12"/>
  <c r="AZ38" i="12"/>
  <c r="AY38" i="12"/>
  <c r="AX38" i="12"/>
  <c r="AP38" i="12"/>
  <c r="AO38" i="12"/>
  <c r="AN38" i="12"/>
  <c r="AM38" i="12"/>
  <c r="AL38" i="12"/>
  <c r="I67" i="29"/>
  <c r="I66" i="29"/>
  <c r="I69" i="29"/>
  <c r="I70" i="29"/>
  <c r="I71" i="29"/>
  <c r="I72" i="29"/>
  <c r="I73" i="29"/>
  <c r="I74" i="29"/>
  <c r="I75" i="29"/>
  <c r="I76" i="29"/>
  <c r="I77" i="29"/>
  <c r="I78" i="29"/>
  <c r="I79" i="29"/>
  <c r="I80" i="29"/>
  <c r="I81" i="29"/>
  <c r="I82" i="29"/>
  <c r="I83" i="29"/>
  <c r="I84" i="29"/>
  <c r="I85" i="29"/>
  <c r="I86" i="29"/>
  <c r="I87" i="29"/>
  <c r="I88" i="29"/>
  <c r="I89" i="29"/>
  <c r="I90" i="29"/>
  <c r="I91" i="29"/>
  <c r="I92" i="29"/>
  <c r="I93" i="29"/>
  <c r="I48" i="29"/>
  <c r="AF37" i="11"/>
  <c r="AE37" i="11"/>
  <c r="AD37" i="11"/>
  <c r="AC37" i="11"/>
  <c r="AF36" i="11"/>
  <c r="AE36" i="11"/>
  <c r="AD36" i="11"/>
  <c r="AC36" i="11"/>
  <c r="AF35" i="11"/>
  <c r="AE35" i="11"/>
  <c r="AD35" i="11"/>
  <c r="AC35" i="11"/>
  <c r="AF34" i="11"/>
  <c r="AE34" i="11"/>
  <c r="AD34" i="11"/>
  <c r="AC34" i="11"/>
  <c r="AF33" i="11"/>
  <c r="AE33" i="11"/>
  <c r="AD33" i="11"/>
  <c r="AC33" i="11"/>
  <c r="AF32" i="11"/>
  <c r="AE32" i="11"/>
  <c r="AD32" i="11"/>
  <c r="AC32" i="11"/>
  <c r="AF31" i="11"/>
  <c r="AE31" i="11"/>
  <c r="AD31" i="11"/>
  <c r="AC31" i="11"/>
  <c r="AF30" i="11"/>
  <c r="AE30" i="11"/>
  <c r="AD30" i="11"/>
  <c r="AC30" i="11"/>
  <c r="AF29" i="11"/>
  <c r="AE29" i="11"/>
  <c r="AD29" i="11"/>
  <c r="AC29" i="11"/>
  <c r="AF38" i="6"/>
  <c r="AE38" i="6"/>
  <c r="AD38" i="6"/>
  <c r="AC38" i="6"/>
  <c r="AF37" i="6"/>
  <c r="AE37" i="6"/>
  <c r="AD37" i="6"/>
  <c r="AC37" i="6"/>
  <c r="AF36" i="6"/>
  <c r="AE36" i="6"/>
  <c r="AD36" i="6"/>
  <c r="AC36" i="6"/>
  <c r="AF35" i="6"/>
  <c r="AE35" i="6"/>
  <c r="AD35" i="6"/>
  <c r="AC35" i="6"/>
  <c r="AF34" i="6"/>
  <c r="AE34" i="6"/>
  <c r="AD34" i="6"/>
  <c r="AC34" i="6"/>
  <c r="AF33" i="6"/>
  <c r="AE33" i="6"/>
  <c r="AD33" i="6"/>
  <c r="AC33" i="6"/>
  <c r="AF32" i="6"/>
  <c r="AE32" i="6"/>
  <c r="AD32" i="6"/>
  <c r="AC32" i="6"/>
  <c r="AF31" i="6"/>
  <c r="AE31" i="6"/>
  <c r="AD31" i="6"/>
  <c r="AC31" i="6"/>
  <c r="AF30" i="6"/>
  <c r="AE30" i="6"/>
  <c r="AD30" i="6"/>
  <c r="AC30" i="6"/>
  <c r="AF29" i="6"/>
  <c r="AE29" i="6"/>
  <c r="AD29" i="6"/>
  <c r="AC29" i="6"/>
  <c r="AF28" i="6"/>
  <c r="AE28" i="6"/>
  <c r="AD28" i="6"/>
  <c r="AC28" i="6"/>
  <c r="AF27" i="6"/>
  <c r="AE27" i="6"/>
  <c r="AD27" i="6"/>
  <c r="AC27" i="6"/>
  <c r="AF26" i="6"/>
  <c r="AE26" i="6"/>
  <c r="AD26" i="6"/>
  <c r="AC26" i="6"/>
  <c r="CX22" i="5"/>
  <c r="CX23" i="5"/>
  <c r="CX24" i="5"/>
  <c r="CX25" i="5"/>
  <c r="CX26" i="5"/>
  <c r="CX27" i="5"/>
  <c r="CX28" i="5"/>
  <c r="CX29" i="5"/>
  <c r="CX30" i="5"/>
  <c r="CX31" i="5"/>
  <c r="CX32" i="5"/>
  <c r="CX33" i="5"/>
  <c r="CX34" i="5"/>
  <c r="CX35" i="5"/>
  <c r="CX36" i="5"/>
  <c r="CX26" i="8"/>
  <c r="CX30" i="8"/>
  <c r="CX31" i="8"/>
  <c r="CX32" i="8"/>
  <c r="CX33" i="8"/>
  <c r="CX34" i="8"/>
  <c r="CX35" i="8"/>
  <c r="CX36" i="8"/>
  <c r="CX18" i="9"/>
  <c r="CX19" i="9"/>
  <c r="CX20" i="9"/>
  <c r="CX21" i="9"/>
  <c r="CX22" i="9"/>
  <c r="CX23" i="9"/>
  <c r="CX24" i="9"/>
  <c r="CX25" i="9"/>
  <c r="CX26" i="9"/>
  <c r="CX27" i="9"/>
  <c r="CX28" i="9"/>
  <c r="CX29" i="9"/>
  <c r="CX30" i="9"/>
  <c r="CX31" i="9"/>
  <c r="CX32" i="9"/>
  <c r="CX33" i="9"/>
  <c r="CX34" i="9"/>
  <c r="CX35" i="9"/>
  <c r="CX36" i="9"/>
  <c r="CW22" i="5"/>
  <c r="CW23" i="5"/>
  <c r="CW24" i="5"/>
  <c r="CW25" i="5"/>
  <c r="CW26" i="5"/>
  <c r="CW27" i="5"/>
  <c r="CW28" i="5"/>
  <c r="CW29" i="5"/>
  <c r="CW30" i="5"/>
  <c r="CW31" i="5"/>
  <c r="CW32" i="5"/>
  <c r="CW33" i="5"/>
  <c r="CW34" i="5"/>
  <c r="CW35" i="5"/>
  <c r="CW36" i="5"/>
  <c r="CW26" i="8"/>
  <c r="CW30" i="8"/>
  <c r="CW31" i="8"/>
  <c r="CW32" i="8"/>
  <c r="CW33" i="8"/>
  <c r="CW34" i="8"/>
  <c r="CW35" i="8"/>
  <c r="CW36" i="8"/>
  <c r="CW18" i="9"/>
  <c r="CW19" i="9"/>
  <c r="CW20" i="9"/>
  <c r="CW21" i="9"/>
  <c r="CW22" i="9"/>
  <c r="CW23" i="9"/>
  <c r="CW24" i="9"/>
  <c r="CW25" i="9"/>
  <c r="CW26" i="9"/>
  <c r="CW27" i="9"/>
  <c r="CW28" i="9"/>
  <c r="CW29" i="9"/>
  <c r="CW30" i="9"/>
  <c r="CW31" i="9"/>
  <c r="CW32" i="9"/>
  <c r="CW33" i="9"/>
  <c r="CW34" i="9"/>
  <c r="CW35" i="9"/>
  <c r="CW36" i="9"/>
  <c r="CV22" i="5"/>
  <c r="CV23" i="5"/>
  <c r="CV24" i="5"/>
  <c r="CV25" i="5"/>
  <c r="CV26" i="5"/>
  <c r="CV27" i="5"/>
  <c r="CV28" i="5"/>
  <c r="CV29" i="5"/>
  <c r="CV30" i="5"/>
  <c r="CV31" i="5"/>
  <c r="CV32" i="5"/>
  <c r="CV33" i="5"/>
  <c r="CV34" i="5"/>
  <c r="CV35" i="5"/>
  <c r="CV36" i="5"/>
  <c r="CV26" i="8"/>
  <c r="CV30" i="8"/>
  <c r="CV31" i="8"/>
  <c r="CV32" i="8"/>
  <c r="CV33" i="8"/>
  <c r="CV34" i="8"/>
  <c r="CV35" i="8"/>
  <c r="CV36" i="8"/>
  <c r="CV18" i="9"/>
  <c r="CV19" i="9"/>
  <c r="CV20" i="9"/>
  <c r="CV21" i="9"/>
  <c r="CV22" i="9"/>
  <c r="CV23" i="9"/>
  <c r="CV24" i="9"/>
  <c r="CV25" i="9"/>
  <c r="CV26" i="9"/>
  <c r="CV27" i="9"/>
  <c r="CV28" i="9"/>
  <c r="CV29" i="9"/>
  <c r="CV30" i="9"/>
  <c r="CV31" i="9"/>
  <c r="CV32" i="9"/>
  <c r="CV33" i="9"/>
  <c r="CV34" i="9"/>
  <c r="CV35" i="9"/>
  <c r="CV36" i="9"/>
  <c r="CU22" i="5"/>
  <c r="CU23" i="5"/>
  <c r="CU24" i="5"/>
  <c r="CU25" i="5"/>
  <c r="CU26" i="5"/>
  <c r="CU27" i="5"/>
  <c r="CU28" i="5"/>
  <c r="CU29" i="5"/>
  <c r="CU30" i="5"/>
  <c r="CU31" i="5"/>
  <c r="CU32" i="5"/>
  <c r="CU33" i="5"/>
  <c r="CU34" i="5"/>
  <c r="CU35" i="5"/>
  <c r="CU36" i="5"/>
  <c r="CU26" i="8"/>
  <c r="CU30" i="8"/>
  <c r="CU31" i="8"/>
  <c r="CU32" i="8"/>
  <c r="CU33" i="8"/>
  <c r="CU34" i="8"/>
  <c r="CU35" i="8"/>
  <c r="CU36" i="8"/>
  <c r="CU18" i="9"/>
  <c r="CU19" i="9"/>
  <c r="CU20" i="9"/>
  <c r="CU21" i="9"/>
  <c r="CU22" i="9"/>
  <c r="CU23" i="9"/>
  <c r="CU24" i="9"/>
  <c r="CU25" i="9"/>
  <c r="CU26" i="9"/>
  <c r="CU27" i="9"/>
  <c r="CU28" i="9"/>
  <c r="CU29" i="9"/>
  <c r="CU30" i="9"/>
  <c r="CU31" i="9"/>
  <c r="CU32" i="9"/>
  <c r="CU33" i="9"/>
  <c r="CU34" i="9"/>
  <c r="CU35" i="9"/>
  <c r="CU36" i="9"/>
  <c r="CT22" i="5"/>
  <c r="CT23" i="5"/>
  <c r="CT24" i="5"/>
  <c r="CT25" i="5"/>
  <c r="CT26" i="5"/>
  <c r="CT27" i="5"/>
  <c r="CT28" i="5"/>
  <c r="CT29" i="5"/>
  <c r="CT30" i="5"/>
  <c r="CT31" i="5"/>
  <c r="CT32" i="5"/>
  <c r="CT33" i="5"/>
  <c r="CT34" i="5"/>
  <c r="CT35" i="5"/>
  <c r="CT36" i="5"/>
  <c r="CT26" i="8"/>
  <c r="CT30" i="8"/>
  <c r="CT31" i="8"/>
  <c r="CT32" i="8"/>
  <c r="CT33" i="8"/>
  <c r="CT34" i="8"/>
  <c r="CT35" i="8"/>
  <c r="CT36" i="8"/>
  <c r="CT18" i="9"/>
  <c r="CT19" i="9"/>
  <c r="CT20" i="9"/>
  <c r="CT21" i="9"/>
  <c r="CT22" i="9"/>
  <c r="CT23" i="9"/>
  <c r="CT24" i="9"/>
  <c r="CT25" i="9"/>
  <c r="CT26" i="9"/>
  <c r="CT27" i="9"/>
  <c r="CT28" i="9"/>
  <c r="CT29" i="9"/>
  <c r="CT30" i="9"/>
  <c r="CT31" i="9"/>
  <c r="CT32" i="9"/>
  <c r="CT33" i="9"/>
  <c r="CT34" i="9"/>
  <c r="CT35" i="9"/>
  <c r="CT36" i="9"/>
  <c r="CQ22" i="5"/>
  <c r="CQ23" i="5"/>
  <c r="CQ24" i="5"/>
  <c r="CQ25" i="5"/>
  <c r="CQ26" i="5"/>
  <c r="CQ27" i="5"/>
  <c r="CQ28" i="5"/>
  <c r="CQ29" i="5"/>
  <c r="CQ30" i="5"/>
  <c r="CQ31" i="5"/>
  <c r="CQ32" i="5"/>
  <c r="CQ33" i="5"/>
  <c r="CQ34" i="5"/>
  <c r="CQ35" i="5"/>
  <c r="CQ36" i="5"/>
  <c r="CQ18" i="9"/>
  <c r="CQ19" i="9"/>
  <c r="CQ20" i="9"/>
  <c r="CQ21" i="9"/>
  <c r="CQ22" i="9"/>
  <c r="CQ23" i="9"/>
  <c r="CQ24" i="9"/>
  <c r="CQ25" i="9"/>
  <c r="CQ26" i="9"/>
  <c r="CQ27" i="9"/>
  <c r="CQ28" i="9"/>
  <c r="CQ29" i="9"/>
  <c r="CQ30" i="9"/>
  <c r="CQ31" i="9"/>
  <c r="CQ32" i="9"/>
  <c r="CQ33" i="9"/>
  <c r="CQ34" i="9"/>
  <c r="CQ35" i="9"/>
  <c r="CQ36" i="9"/>
  <c r="CQ26" i="8"/>
  <c r="CQ30" i="8"/>
  <c r="CQ31" i="8"/>
  <c r="CQ32" i="8"/>
  <c r="CQ33" i="8"/>
  <c r="CQ34" i="8"/>
  <c r="CQ35" i="8"/>
  <c r="CQ36" i="8"/>
  <c r="D12" i="28"/>
  <c r="C40" i="42"/>
  <c r="C39" i="42"/>
  <c r="C38" i="42"/>
  <c r="C37" i="42"/>
  <c r="C36" i="42"/>
  <c r="C35" i="42"/>
  <c r="C34" i="42"/>
  <c r="C33" i="42"/>
  <c r="C32" i="42"/>
  <c r="C31" i="42"/>
  <c r="C30" i="42"/>
  <c r="C29" i="42"/>
  <c r="C28" i="42"/>
  <c r="C27" i="42"/>
  <c r="C26" i="42"/>
  <c r="C25" i="42"/>
  <c r="C24" i="42"/>
  <c r="C23" i="42"/>
  <c r="C22" i="42"/>
  <c r="C21" i="42"/>
  <c r="C20" i="42"/>
  <c r="C19" i="42"/>
  <c r="C18" i="42"/>
  <c r="C17" i="42"/>
  <c r="C16" i="42"/>
  <c r="C15" i="42"/>
  <c r="C14" i="42"/>
  <c r="C13" i="42"/>
  <c r="C12" i="42"/>
  <c r="C11" i="42"/>
  <c r="C9" i="42"/>
  <c r="C8" i="42"/>
  <c r="C7" i="42"/>
  <c r="C6" i="42"/>
  <c r="C5" i="42"/>
  <c r="C4" i="42"/>
  <c r="Q45" i="40"/>
  <c r="P45" i="40"/>
  <c r="O45" i="40"/>
  <c r="N45" i="40"/>
  <c r="J45" i="40"/>
  <c r="J48" i="40" s="1"/>
  <c r="J49" i="40" s="1"/>
  <c r="CQ43" i="40"/>
  <c r="CX44" i="40"/>
  <c r="CV43" i="40"/>
  <c r="CQ44" i="40"/>
  <c r="CW43" i="40"/>
  <c r="CV44" i="40"/>
  <c r="CW44" i="40"/>
  <c r="CT43" i="40"/>
  <c r="CU43" i="40"/>
  <c r="CU44" i="40"/>
  <c r="CX43" i="40"/>
  <c r="CT44" i="40"/>
  <c r="T51" i="12"/>
  <c r="E6" i="28"/>
  <c r="F6" i="28"/>
  <c r="G6" i="28"/>
  <c r="H6" i="28"/>
  <c r="I6" i="28"/>
  <c r="J6" i="28"/>
  <c r="CX36" i="40"/>
  <c r="CW36" i="40"/>
  <c r="CV36" i="40"/>
  <c r="CU36" i="40"/>
  <c r="CT36" i="40"/>
  <c r="CQ36" i="40"/>
  <c r="CX35" i="40"/>
  <c r="CW35" i="40"/>
  <c r="CV35" i="40"/>
  <c r="CU35" i="40"/>
  <c r="CT35" i="40"/>
  <c r="CQ35" i="40"/>
  <c r="CX34" i="40"/>
  <c r="CW34" i="40"/>
  <c r="CV34" i="40"/>
  <c r="CU34" i="40"/>
  <c r="CT34" i="40"/>
  <c r="CQ34" i="40"/>
  <c r="CX33" i="40"/>
  <c r="CW33" i="40"/>
  <c r="CV33" i="40"/>
  <c r="CU33" i="40"/>
  <c r="CT33" i="40"/>
  <c r="CQ33" i="40"/>
  <c r="CX32" i="40"/>
  <c r="CW32" i="40"/>
  <c r="CV32" i="40"/>
  <c r="CU32" i="40"/>
  <c r="CT32" i="40"/>
  <c r="CQ32" i="40"/>
  <c r="CX31" i="40"/>
  <c r="CW31" i="40"/>
  <c r="CV31" i="40"/>
  <c r="CU31" i="40"/>
  <c r="CT31" i="40"/>
  <c r="CQ31" i="40"/>
  <c r="CX30" i="40"/>
  <c r="CW30" i="40"/>
  <c r="CV30" i="40"/>
  <c r="CU30" i="40"/>
  <c r="CT30" i="40"/>
  <c r="CQ30" i="40"/>
  <c r="CX29" i="40"/>
  <c r="CW29" i="40"/>
  <c r="CV29" i="40"/>
  <c r="CU29" i="40"/>
  <c r="CT29" i="40"/>
  <c r="CQ29" i="40"/>
  <c r="CX28" i="40"/>
  <c r="CW28" i="40"/>
  <c r="CV28" i="40"/>
  <c r="CU28" i="40"/>
  <c r="CT28" i="40"/>
  <c r="CQ28" i="40"/>
  <c r="CX26" i="40"/>
  <c r="CW26" i="40"/>
  <c r="CV26" i="40"/>
  <c r="CU26" i="40"/>
  <c r="CT26" i="40"/>
  <c r="CQ26" i="40"/>
  <c r="CX25" i="40"/>
  <c r="CW25" i="40"/>
  <c r="CV25" i="40"/>
  <c r="CU25" i="40"/>
  <c r="CT25" i="40"/>
  <c r="CQ25" i="40"/>
  <c r="CY37" i="12"/>
  <c r="CX37" i="12"/>
  <c r="CW37" i="12"/>
  <c r="CV37" i="12"/>
  <c r="CU37" i="12"/>
  <c r="CS37" i="12"/>
  <c r="CY36" i="12"/>
  <c r="CX36" i="12"/>
  <c r="CW36" i="12"/>
  <c r="CV36" i="12"/>
  <c r="CU36" i="12"/>
  <c r="CS36" i="12"/>
  <c r="CY35" i="12"/>
  <c r="CX35" i="12"/>
  <c r="CW35" i="12"/>
  <c r="CV35" i="12"/>
  <c r="CU35" i="12"/>
  <c r="CS35" i="12"/>
  <c r="CY34" i="12"/>
  <c r="CX34" i="12"/>
  <c r="CW34" i="12"/>
  <c r="CV34" i="12"/>
  <c r="CU34" i="12"/>
  <c r="CS34" i="12"/>
  <c r="CY33" i="12"/>
  <c r="CX33" i="12"/>
  <c r="CW33" i="12"/>
  <c r="CV33" i="12"/>
  <c r="CU33" i="12"/>
  <c r="CS33" i="12"/>
  <c r="CY32" i="12"/>
  <c r="CX32" i="12"/>
  <c r="CW32" i="12"/>
  <c r="CV32" i="12"/>
  <c r="CU32" i="12"/>
  <c r="CS32" i="12"/>
  <c r="CY31" i="12"/>
  <c r="CX31" i="12"/>
  <c r="CW31" i="12"/>
  <c r="CV31" i="12"/>
  <c r="CU31" i="12"/>
  <c r="CS31" i="12"/>
  <c r="CY30" i="12"/>
  <c r="CX30" i="12"/>
  <c r="CW30" i="12"/>
  <c r="CV30" i="12"/>
  <c r="CU30" i="12"/>
  <c r="CS30" i="12"/>
  <c r="CY29" i="12"/>
  <c r="CX29" i="12"/>
  <c r="CW29" i="12"/>
  <c r="CV29" i="12"/>
  <c r="CU29" i="12"/>
  <c r="CS29" i="12"/>
  <c r="CY28" i="12"/>
  <c r="CX28" i="12"/>
  <c r="CW28" i="12"/>
  <c r="CV28" i="12"/>
  <c r="CU28" i="12"/>
  <c r="CS28" i="12"/>
  <c r="CY27" i="12"/>
  <c r="CX27" i="12"/>
  <c r="CW27" i="12"/>
  <c r="CV27" i="12"/>
  <c r="CU27" i="12"/>
  <c r="CS27" i="12"/>
  <c r="CY26" i="12"/>
  <c r="CX26" i="12"/>
  <c r="CW26" i="12"/>
  <c r="CV26" i="12"/>
  <c r="CU26" i="12"/>
  <c r="CS26" i="12"/>
  <c r="CY25" i="12"/>
  <c r="CX25" i="12"/>
  <c r="CW25" i="12"/>
  <c r="CV25" i="12"/>
  <c r="CU25" i="12"/>
  <c r="CS25" i="12"/>
  <c r="CY24" i="12"/>
  <c r="CX24" i="12"/>
  <c r="CW24" i="12"/>
  <c r="CV24" i="12"/>
  <c r="CU24" i="12"/>
  <c r="CS24" i="12"/>
  <c r="CY23" i="12"/>
  <c r="CX23" i="12"/>
  <c r="CW23" i="12"/>
  <c r="CV23" i="12"/>
  <c r="CU23" i="12"/>
  <c r="CS23" i="12"/>
  <c r="CY22" i="12"/>
  <c r="CX22" i="12"/>
  <c r="CW22" i="12"/>
  <c r="CV22" i="12"/>
  <c r="CU22" i="12"/>
  <c r="CS22" i="12"/>
  <c r="CY21" i="12"/>
  <c r="CX21" i="12"/>
  <c r="CW21" i="12"/>
  <c r="CV21" i="12"/>
  <c r="CU21" i="12"/>
  <c r="CS21" i="12"/>
  <c r="CY20" i="12"/>
  <c r="CX20" i="12"/>
  <c r="CW20" i="12"/>
  <c r="CV20" i="12"/>
  <c r="CU20" i="12"/>
  <c r="CS20" i="12"/>
  <c r="CY19" i="12"/>
  <c r="CX19" i="12"/>
  <c r="CW19" i="12"/>
  <c r="CV19" i="12"/>
  <c r="CU19" i="12"/>
  <c r="CS19" i="12"/>
  <c r="CY18" i="12"/>
  <c r="CX18" i="12"/>
  <c r="CW18" i="12"/>
  <c r="CV18" i="12"/>
  <c r="CU18" i="12"/>
  <c r="CS18" i="12"/>
  <c r="CY17" i="12"/>
  <c r="CX17" i="12"/>
  <c r="CW17" i="12"/>
  <c r="CV17" i="12"/>
  <c r="CU17" i="12"/>
  <c r="CS17" i="12"/>
  <c r="CY16" i="12"/>
  <c r="CX16" i="12"/>
  <c r="CW16" i="12"/>
  <c r="CV16" i="12"/>
  <c r="CU16" i="12"/>
  <c r="CS16" i="12"/>
  <c r="CY15" i="12"/>
  <c r="CX15" i="12"/>
  <c r="CW15" i="12"/>
  <c r="CV15" i="12"/>
  <c r="CU15" i="12"/>
  <c r="CS15" i="12"/>
  <c r="CY14" i="12"/>
  <c r="CX14" i="12"/>
  <c r="CW14" i="12"/>
  <c r="CV14" i="12"/>
  <c r="CU14" i="12"/>
  <c r="CS14" i="12"/>
  <c r="CY13" i="12"/>
  <c r="CX13" i="12"/>
  <c r="CW13" i="12"/>
  <c r="CV13" i="12"/>
  <c r="CU13" i="12"/>
  <c r="CS13" i="12"/>
  <c r="CY12" i="12"/>
  <c r="CX12" i="12"/>
  <c r="CW12" i="12"/>
  <c r="CV12" i="12"/>
  <c r="CU12" i="12"/>
  <c r="CS12" i="12"/>
  <c r="CX36" i="4"/>
  <c r="CW36" i="4"/>
  <c r="CV36" i="4"/>
  <c r="CU36" i="4"/>
  <c r="CT36" i="4"/>
  <c r="CQ36" i="4"/>
  <c r="CX35" i="4"/>
  <c r="CW35" i="4"/>
  <c r="CV35" i="4"/>
  <c r="CU35" i="4"/>
  <c r="CT35" i="4"/>
  <c r="CQ35" i="4"/>
  <c r="CX34" i="4"/>
  <c r="CW34" i="4"/>
  <c r="CV34" i="4"/>
  <c r="CU34" i="4"/>
  <c r="CT34" i="4"/>
  <c r="CQ34" i="4"/>
  <c r="CX33" i="4"/>
  <c r="CW33" i="4"/>
  <c r="CV33" i="4"/>
  <c r="CU33" i="4"/>
  <c r="CT33" i="4"/>
  <c r="CQ33" i="4"/>
  <c r="CX32" i="4"/>
  <c r="CW32" i="4"/>
  <c r="CV32" i="4"/>
  <c r="CU32" i="4"/>
  <c r="CT32" i="4"/>
  <c r="CQ32" i="4"/>
  <c r="H11" i="29"/>
  <c r="I61" i="29"/>
  <c r="I60" i="29"/>
  <c r="I59" i="29"/>
  <c r="I58" i="29"/>
  <c r="I57" i="29"/>
  <c r="I56" i="29"/>
  <c r="I54" i="29"/>
  <c r="I53" i="29"/>
  <c r="I52" i="29"/>
  <c r="I51" i="29"/>
  <c r="I50" i="29"/>
  <c r="D15" i="1"/>
  <c r="AA26" i="6"/>
  <c r="AA27" i="6"/>
  <c r="AA28" i="6"/>
  <c r="AA29" i="6"/>
  <c r="AA30" i="6"/>
  <c r="AA31" i="6"/>
  <c r="AA32" i="6"/>
  <c r="AA33" i="6"/>
  <c r="AA34" i="6"/>
  <c r="AA35" i="6"/>
  <c r="AA36" i="6"/>
  <c r="AA37" i="6"/>
  <c r="AA38" i="6"/>
  <c r="AA29" i="11"/>
  <c r="AA30" i="11"/>
  <c r="AA31" i="11"/>
  <c r="AA32" i="11"/>
  <c r="AA33" i="11"/>
  <c r="AA34" i="11"/>
  <c r="AA35" i="11"/>
  <c r="AA36" i="11"/>
  <c r="AA37" i="11"/>
  <c r="Y26" i="6"/>
  <c r="Y27" i="6"/>
  <c r="Y28" i="6"/>
  <c r="Y29" i="6"/>
  <c r="Y30" i="6"/>
  <c r="Y31" i="6"/>
  <c r="Y32" i="6"/>
  <c r="Y33" i="6"/>
  <c r="Y34" i="6"/>
  <c r="Y35" i="6"/>
  <c r="Y36" i="6"/>
  <c r="Y37" i="6"/>
  <c r="Y38" i="6"/>
  <c r="Y29" i="11"/>
  <c r="Y30" i="11"/>
  <c r="Y31" i="11"/>
  <c r="Y32" i="11"/>
  <c r="Y33" i="11"/>
  <c r="Y34" i="11"/>
  <c r="Y35" i="11"/>
  <c r="Y36" i="11"/>
  <c r="Y37" i="11"/>
  <c r="X26" i="6"/>
  <c r="X27" i="6"/>
  <c r="X28" i="6"/>
  <c r="X29" i="6"/>
  <c r="X30" i="6"/>
  <c r="X31" i="6"/>
  <c r="X32" i="6"/>
  <c r="X33" i="6"/>
  <c r="X34" i="6"/>
  <c r="X35" i="6"/>
  <c r="X36" i="6"/>
  <c r="X37" i="6"/>
  <c r="X38" i="6"/>
  <c r="X29" i="11"/>
  <c r="X30" i="11"/>
  <c r="X31" i="11"/>
  <c r="X32" i="11"/>
  <c r="X33" i="11"/>
  <c r="X34" i="11"/>
  <c r="X35" i="11"/>
  <c r="X36" i="11"/>
  <c r="X37" i="11"/>
  <c r="W26" i="6"/>
  <c r="W27" i="6"/>
  <c r="W28" i="6"/>
  <c r="W29" i="6"/>
  <c r="W30" i="6"/>
  <c r="W31" i="6"/>
  <c r="W32" i="6"/>
  <c r="W33" i="6"/>
  <c r="W34" i="6"/>
  <c r="W35" i="6"/>
  <c r="W36" i="6"/>
  <c r="W37" i="6"/>
  <c r="W38" i="6"/>
  <c r="W29" i="11"/>
  <c r="W30" i="11"/>
  <c r="W31" i="11"/>
  <c r="W32" i="11"/>
  <c r="W33" i="11"/>
  <c r="W34" i="11"/>
  <c r="W35" i="11"/>
  <c r="W36" i="11"/>
  <c r="W37" i="11"/>
  <c r="J37" i="5"/>
  <c r="T26" i="6"/>
  <c r="T27" i="6"/>
  <c r="T28" i="6"/>
  <c r="T29" i="6"/>
  <c r="T30" i="6"/>
  <c r="T31" i="6"/>
  <c r="T32" i="6"/>
  <c r="T33" i="6"/>
  <c r="T34" i="6"/>
  <c r="T35" i="6"/>
  <c r="T36" i="6"/>
  <c r="T37" i="6"/>
  <c r="T38" i="6"/>
  <c r="J37" i="8"/>
  <c r="T38" i="11"/>
  <c r="T29" i="11"/>
  <c r="T30" i="11"/>
  <c r="T31" i="11"/>
  <c r="T32" i="11"/>
  <c r="T33" i="11"/>
  <c r="T34" i="11"/>
  <c r="T35" i="11"/>
  <c r="T36" i="11"/>
  <c r="T37" i="11"/>
  <c r="J37" i="40"/>
  <c r="J37" i="4"/>
  <c r="D31" i="1"/>
  <c r="I62" i="29"/>
  <c r="I63" i="29"/>
  <c r="I64" i="29"/>
  <c r="I65" i="29"/>
  <c r="C49" i="28"/>
  <c r="I39" i="29"/>
  <c r="I40" i="29"/>
  <c r="I42" i="29"/>
  <c r="I43" i="29"/>
  <c r="I49" i="29"/>
  <c r="I38" i="29"/>
  <c r="I36" i="29"/>
  <c r="I35" i="29"/>
  <c r="I34" i="29"/>
  <c r="I33" i="29"/>
  <c r="D9" i="1"/>
  <c r="D8" i="1"/>
  <c r="D38" i="1"/>
  <c r="D36" i="1"/>
  <c r="D30" i="1"/>
  <c r="D25" i="1"/>
  <c r="D24" i="1"/>
  <c r="D23" i="1"/>
  <c r="D22" i="1"/>
  <c r="D26" i="1"/>
  <c r="H7" i="1"/>
  <c r="H17" i="1"/>
  <c r="T38" i="12"/>
  <c r="Q51" i="12"/>
  <c r="U51" i="12"/>
  <c r="V51" i="12"/>
  <c r="Q38" i="12"/>
  <c r="S51" i="12"/>
  <c r="V38" i="12"/>
  <c r="W51" i="12"/>
  <c r="S38" i="12"/>
  <c r="W38" i="12"/>
  <c r="U38" i="12"/>
  <c r="CT27" i="40"/>
  <c r="CQ27" i="40"/>
  <c r="CU27" i="40"/>
  <c r="CV27" i="40"/>
  <c r="CW27" i="40"/>
  <c r="CX27" i="40"/>
  <c r="AJ5" i="15"/>
  <c r="CI38" i="12"/>
  <c r="CK38" i="12"/>
  <c r="CV9" i="12"/>
  <c r="CN38" i="12"/>
  <c r="CF38" i="12"/>
  <c r="CH38" i="12"/>
  <c r="CO38" i="12"/>
  <c r="CP38" i="12"/>
  <c r="AD38" i="12"/>
  <c r="CG38" i="12"/>
  <c r="CM38" i="12"/>
  <c r="CW11" i="12"/>
  <c r="CQ38" i="12"/>
  <c r="CV10" i="12"/>
  <c r="AH38" i="12"/>
  <c r="CX9" i="12"/>
  <c r="CU9" i="12"/>
  <c r="CU11" i="12"/>
  <c r="CV11" i="12"/>
  <c r="CQ23" i="40"/>
  <c r="CW23" i="40"/>
  <c r="CQ22" i="40"/>
  <c r="CS9" i="12"/>
  <c r="AI38" i="12"/>
  <c r="CW10" i="12"/>
  <c r="CT21" i="40"/>
  <c r="CT24" i="40"/>
  <c r="CU22" i="40"/>
  <c r="CV23" i="40"/>
  <c r="CV20" i="40"/>
  <c r="CY8" i="12"/>
  <c r="CY10" i="12"/>
  <c r="CY11" i="12"/>
  <c r="M45" i="40"/>
  <c r="M48" i="40" s="1"/>
  <c r="M49" i="40" s="1"/>
  <c r="CX10" i="12"/>
  <c r="CY9" i="12"/>
  <c r="CX11" i="12"/>
  <c r="CC38" i="12"/>
  <c r="CS7" i="12"/>
  <c r="CE38" i="12"/>
  <c r="CU8" i="12"/>
  <c r="CU10" i="12"/>
  <c r="CX7" i="12"/>
  <c r="CV8" i="12"/>
  <c r="CW9" i="12"/>
  <c r="AF38" i="12"/>
  <c r="CX8" i="12"/>
  <c r="AG38" i="12"/>
  <c r="CS10" i="12"/>
  <c r="AJ38" i="12"/>
  <c r="CU7" i="12"/>
  <c r="CS11" i="12"/>
  <c r="CS8" i="12"/>
  <c r="CW8" i="12"/>
  <c r="CV7" i="12"/>
  <c r="CX21" i="40"/>
  <c r="CX22" i="40"/>
  <c r="CU21" i="40"/>
  <c r="CU20" i="40"/>
  <c r="CT22" i="40"/>
  <c r="CT23" i="40"/>
  <c r="CU23" i="40"/>
  <c r="CV21" i="40"/>
  <c r="CT20" i="40"/>
  <c r="CV22" i="40"/>
  <c r="CU24" i="40"/>
  <c r="CX23" i="40"/>
  <c r="CX20" i="40"/>
  <c r="CW21" i="40"/>
  <c r="CV24" i="40"/>
  <c r="CW20" i="40"/>
  <c r="CQ24" i="40"/>
  <c r="CX24" i="40"/>
  <c r="CW22" i="40"/>
  <c r="CQ21" i="40"/>
  <c r="CQ20" i="40"/>
  <c r="CW24" i="40"/>
  <c r="AQ38" i="12"/>
  <c r="CY7" i="12"/>
  <c r="R5" i="15"/>
  <c r="CW7" i="12"/>
  <c r="BC38" i="12"/>
  <c r="CS51" i="12"/>
  <c r="CU51" i="12"/>
  <c r="CW51" i="12"/>
  <c r="CX51" i="12"/>
  <c r="CY51" i="12"/>
  <c r="CV51" i="12"/>
  <c r="CQ12" i="40"/>
  <c r="CQ17" i="40"/>
  <c r="CQ13" i="40"/>
  <c r="CQ16" i="40"/>
  <c r="CQ15" i="9"/>
  <c r="CQ17" i="9"/>
  <c r="CQ16" i="9"/>
  <c r="CQ19" i="40"/>
  <c r="CQ18" i="40"/>
  <c r="CQ14" i="9"/>
  <c r="CQ15" i="40"/>
  <c r="CQ14" i="40"/>
  <c r="CR19" i="40"/>
  <c r="CR14" i="9"/>
  <c r="CR14" i="40"/>
  <c r="CR15" i="40"/>
  <c r="CR12" i="40"/>
  <c r="CR18" i="40"/>
  <c r="CR17" i="40"/>
  <c r="CR16" i="9"/>
  <c r="CR17" i="9"/>
  <c r="CR13" i="40"/>
  <c r="CR15" i="9"/>
  <c r="CR16" i="40"/>
  <c r="CQ18" i="5"/>
  <c r="CR18" i="5"/>
  <c r="CT18" i="5"/>
  <c r="CT15" i="9"/>
  <c r="CT12" i="40"/>
  <c r="CT16" i="9"/>
  <c r="CT17" i="9"/>
  <c r="CT15" i="40"/>
  <c r="CT18" i="40"/>
  <c r="CT14" i="40"/>
  <c r="CT13" i="40"/>
  <c r="CT19" i="40"/>
  <c r="CT17" i="40"/>
  <c r="CT16" i="40"/>
  <c r="CT14" i="9"/>
  <c r="CU19" i="40"/>
  <c r="CU18" i="5"/>
  <c r="CU14" i="40"/>
  <c r="CU16" i="9"/>
  <c r="CU14" i="9"/>
  <c r="CU12" i="40"/>
  <c r="CU18" i="40"/>
  <c r="CU16" i="40"/>
  <c r="CU17" i="9"/>
  <c r="CU15" i="9"/>
  <c r="CU17" i="40"/>
  <c r="CU13" i="40"/>
  <c r="CU15" i="40"/>
  <c r="CV15" i="9"/>
  <c r="CV17" i="40"/>
  <c r="CV16" i="9"/>
  <c r="CV12" i="40"/>
  <c r="CV18" i="40"/>
  <c r="CV16" i="40"/>
  <c r="CV18" i="5"/>
  <c r="CV14" i="40"/>
  <c r="CV19" i="40"/>
  <c r="CV14" i="9"/>
  <c r="CV15" i="40"/>
  <c r="CV13" i="40"/>
  <c r="CV17" i="9"/>
  <c r="CW16" i="9"/>
  <c r="CW14" i="40"/>
  <c r="CW15" i="9"/>
  <c r="CW18" i="5"/>
  <c r="CW19" i="40"/>
  <c r="CW13" i="40"/>
  <c r="CW17" i="40"/>
  <c r="CW12" i="40"/>
  <c r="CW14" i="9"/>
  <c r="CW18" i="40"/>
  <c r="CW15" i="40"/>
  <c r="CW17" i="9"/>
  <c r="CW16" i="40"/>
  <c r="CX13" i="40"/>
  <c r="CX17" i="40"/>
  <c r="CX18" i="40"/>
  <c r="CX14" i="9"/>
  <c r="CX16" i="9"/>
  <c r="CX14" i="40"/>
  <c r="CX12" i="40"/>
  <c r="CX17" i="9"/>
  <c r="CX16" i="40"/>
  <c r="CX19" i="40"/>
  <c r="CX15" i="9"/>
  <c r="CX18" i="5"/>
  <c r="CX15" i="40"/>
  <c r="H9" i="29"/>
  <c r="BG19" i="13"/>
  <c r="H15" i="29"/>
  <c r="H18" i="29"/>
  <c r="H19" i="29"/>
  <c r="H6" i="29"/>
  <c r="H16" i="29"/>
  <c r="H22" i="29"/>
  <c r="H13" i="29"/>
  <c r="H14" i="29"/>
  <c r="H10" i="29"/>
  <c r="H7" i="29"/>
  <c r="H17" i="29"/>
  <c r="BY42" i="40"/>
  <c r="BY45" i="40" s="1"/>
  <c r="BZ42" i="40"/>
  <c r="BZ45" i="40" s="1"/>
  <c r="CI42" i="40"/>
  <c r="CI45" i="40" s="1"/>
  <c r="CH42" i="40"/>
  <c r="CH45" i="40" s="1"/>
  <c r="BG16" i="13"/>
  <c r="BD18" i="13"/>
  <c r="BG15" i="13"/>
  <c r="BJ15" i="13"/>
  <c r="BJ19" i="13"/>
  <c r="BG18" i="13"/>
  <c r="BD17" i="13"/>
  <c r="BF15" i="13"/>
  <c r="BF19" i="13"/>
  <c r="BH13" i="13"/>
  <c r="BH17" i="13"/>
  <c r="BD14" i="13"/>
  <c r="BI16" i="13"/>
  <c r="BD15" i="13"/>
  <c r="BI19" i="13"/>
  <c r="BI13" i="13"/>
  <c r="BD19" i="13"/>
  <c r="BF16" i="13"/>
  <c r="BF13" i="13"/>
  <c r="BJ16" i="13"/>
  <c r="BH14" i="13"/>
  <c r="BH18" i="13"/>
  <c r="BG17" i="13"/>
  <c r="BI17" i="13"/>
  <c r="BC19" i="13"/>
  <c r="BI18" i="13"/>
  <c r="BC16" i="13"/>
  <c r="BD13" i="13"/>
  <c r="BG13" i="13"/>
  <c r="BF17" i="13"/>
  <c r="BF14" i="13"/>
  <c r="BJ13" i="13"/>
  <c r="BJ17" i="13"/>
  <c r="BH15" i="13"/>
  <c r="BH19" i="13"/>
  <c r="BC13" i="13"/>
  <c r="BC17" i="13"/>
  <c r="BC15" i="13"/>
  <c r="BD16" i="13"/>
  <c r="BG14" i="13"/>
  <c r="BI14" i="13"/>
  <c r="BI15" i="13"/>
  <c r="BF18" i="13"/>
  <c r="BJ14" i="13"/>
  <c r="BJ18" i="13"/>
  <c r="BH16" i="13"/>
  <c r="BC14" i="13"/>
  <c r="BC18" i="13"/>
  <c r="CR27" i="8"/>
  <c r="CR28" i="8"/>
  <c r="CQ29" i="8"/>
  <c r="CQ28" i="8"/>
  <c r="CR29" i="8"/>
  <c r="CX28" i="8"/>
  <c r="CX29" i="8"/>
  <c r="CQ27" i="8"/>
  <c r="CU27" i="8"/>
  <c r="CX27" i="8"/>
  <c r="CW28" i="8"/>
  <c r="CT29" i="8"/>
  <c r="CU29" i="8"/>
  <c r="CW29" i="8"/>
  <c r="AD20" i="17"/>
  <c r="CT28" i="8"/>
  <c r="CU28" i="8"/>
  <c r="CV27" i="8"/>
  <c r="CT27" i="8"/>
  <c r="CV29" i="8"/>
  <c r="CW27" i="8"/>
  <c r="CV28" i="8"/>
  <c r="AB20" i="17"/>
  <c r="AA20" i="17"/>
  <c r="Z20" i="17"/>
  <c r="AC20" i="17"/>
  <c r="AZ31" i="54"/>
  <c r="K37" i="55"/>
  <c r="BD38" i="55" s="1"/>
  <c r="CJ17" i="5"/>
  <c r="AK5" i="15"/>
  <c r="CQ6" i="6"/>
  <c r="F25" i="41"/>
  <c r="D33" i="23"/>
  <c r="F33" i="23"/>
  <c r="D38" i="23"/>
  <c r="D34" i="23"/>
  <c r="D35" i="23"/>
  <c r="D36" i="23"/>
  <c r="D41" i="23"/>
  <c r="D17" i="23"/>
  <c r="E35" i="23"/>
  <c r="CY38" i="12"/>
  <c r="CY39" i="12"/>
  <c r="G10" i="19"/>
  <c r="F35" i="23"/>
  <c r="G38" i="23"/>
  <c r="E17" i="23"/>
  <c r="F36" i="23"/>
  <c r="L3" i="23"/>
  <c r="E33" i="23"/>
  <c r="F38" i="23"/>
  <c r="G35" i="23"/>
  <c r="C10" i="19"/>
  <c r="D22" i="53"/>
  <c r="N22" i="53"/>
  <c r="CV38" i="12"/>
  <c r="CV39" i="12"/>
  <c r="CX38" i="12"/>
  <c r="CX39" i="12"/>
  <c r="CU38" i="12"/>
  <c r="CU39" i="12"/>
  <c r="CS38" i="12"/>
  <c r="CS39" i="12"/>
  <c r="D9" i="48"/>
  <c r="BC36" i="52"/>
  <c r="E36" i="23"/>
  <c r="F17" i="23"/>
  <c r="G36" i="23"/>
  <c r="DA18" i="5"/>
  <c r="P48" i="40"/>
  <c r="Q48" i="40"/>
  <c r="D10" i="48"/>
  <c r="AR42" i="54"/>
  <c r="CT38" i="12"/>
  <c r="CT39" i="12"/>
  <c r="E38" i="23"/>
  <c r="F10" i="19"/>
  <c r="K48" i="40"/>
  <c r="H18" i="28"/>
  <c r="E29" i="23"/>
  <c r="E34" i="23"/>
  <c r="F29" i="23"/>
  <c r="G17" i="23"/>
  <c r="G33" i="23"/>
  <c r="G34" i="23"/>
  <c r="G29" i="23"/>
  <c r="CW38" i="12"/>
  <c r="CW39" i="12"/>
  <c r="U38" i="11"/>
  <c r="K47" i="40" s="1"/>
  <c r="O22" i="53"/>
  <c r="N21" i="53"/>
  <c r="O21" i="53"/>
  <c r="N20" i="53"/>
  <c r="O20" i="53"/>
  <c r="AZ18" i="52"/>
  <c r="T36" i="52"/>
  <c r="T41" i="52" s="1"/>
  <c r="U36" i="52"/>
  <c r="U41" i="52" s="1"/>
  <c r="E10" i="19"/>
  <c r="F34" i="23"/>
  <c r="E9" i="53"/>
  <c r="N26" i="53"/>
  <c r="X26" i="53" s="1"/>
  <c r="O26" i="53"/>
  <c r="Y38" i="11"/>
  <c r="O47" i="40"/>
  <c r="Z38" i="11"/>
  <c r="P47" i="40" s="1"/>
  <c r="P49" i="40" s="1"/>
  <c r="W38" i="11"/>
  <c r="M47" i="40"/>
  <c r="X38" i="11"/>
  <c r="N47" i="40" s="1"/>
  <c r="AA38" i="11"/>
  <c r="N48" i="40"/>
  <c r="O48" i="40"/>
  <c r="U37" i="52"/>
  <c r="U42" i="52" s="1"/>
  <c r="I41" i="29"/>
  <c r="CH17" i="5"/>
  <c r="N31" i="28"/>
  <c r="O31" i="28"/>
  <c r="P31" i="28"/>
  <c r="Q31" i="28"/>
  <c r="R31" i="28"/>
  <c r="S31" i="28"/>
  <c r="T31" i="28"/>
  <c r="U31" i="28"/>
  <c r="AI6" i="7"/>
  <c r="CI16" i="5"/>
  <c r="CL16" i="5"/>
  <c r="CF30" i="11"/>
  <c r="BB32" i="6"/>
  <c r="BZ31" i="11"/>
  <c r="BN37" i="11"/>
  <c r="BN33" i="11"/>
  <c r="DI33" i="11" s="1"/>
  <c r="BN29" i="11"/>
  <c r="BT26" i="6"/>
  <c r="DJ26" i="6"/>
  <c r="BT37" i="11"/>
  <c r="BT30" i="11"/>
  <c r="BT29" i="11"/>
  <c r="H28" i="29"/>
  <c r="H8" i="29"/>
  <c r="H21" i="29"/>
  <c r="AV36" i="6"/>
  <c r="DF36" i="6"/>
  <c r="H27" i="29"/>
  <c r="AV33" i="11"/>
  <c r="DF33" i="11" s="1"/>
  <c r="BB37" i="11"/>
  <c r="BB33" i="11"/>
  <c r="BB29" i="11"/>
  <c r="DG29" i="11" s="1"/>
  <c r="CN16" i="5"/>
  <c r="CM17" i="5"/>
  <c r="BT32" i="11"/>
  <c r="CF28" i="6"/>
  <c r="DL28" i="6"/>
  <c r="CK42" i="40"/>
  <c r="CK45" i="40" s="1"/>
  <c r="CO42" i="40"/>
  <c r="CO45" i="40"/>
  <c r="CL37" i="11"/>
  <c r="DM37" i="11" s="1"/>
  <c r="CL29" i="11"/>
  <c r="CL34" i="6"/>
  <c r="CL31" i="6"/>
  <c r="CF36" i="6"/>
  <c r="DL36" i="6" s="1"/>
  <c r="CL37" i="6"/>
  <c r="CL35" i="11"/>
  <c r="DM35" i="11" s="1"/>
  <c r="CL34" i="11"/>
  <c r="BN35" i="6"/>
  <c r="BN32" i="6"/>
  <c r="BN29" i="6"/>
  <c r="AY11" i="13"/>
  <c r="AX11" i="13"/>
  <c r="AZ11" i="13"/>
  <c r="AW11" i="13"/>
  <c r="BA11" i="13"/>
  <c r="AV38" i="6"/>
  <c r="E25" i="41"/>
  <c r="BB36" i="6"/>
  <c r="AV32" i="6"/>
  <c r="DF32" i="6" s="1"/>
  <c r="BT30" i="6"/>
  <c r="D10" i="19"/>
  <c r="BB28" i="6"/>
  <c r="AV33" i="6"/>
  <c r="H10" i="19"/>
  <c r="D29" i="23"/>
  <c r="AV31" i="6"/>
  <c r="AV27" i="6"/>
  <c r="DF27" i="6" s="1"/>
  <c r="BZ34" i="11"/>
  <c r="CL38" i="6"/>
  <c r="DM38" i="6" s="1"/>
  <c r="CL30" i="11"/>
  <c r="CN17" i="5"/>
  <c r="CO16" i="5"/>
  <c r="CM16" i="5"/>
  <c r="CO17" i="5"/>
  <c r="CH16" i="5"/>
  <c r="CI17" i="5"/>
  <c r="CL17" i="5"/>
  <c r="BT34" i="11"/>
  <c r="BN37" i="6"/>
  <c r="AV37" i="6"/>
  <c r="DF37" i="6" s="1"/>
  <c r="AV35" i="6"/>
  <c r="AV29" i="6"/>
  <c r="DF29" i="6"/>
  <c r="AV28" i="6"/>
  <c r="BT36" i="11"/>
  <c r="BT33" i="11"/>
  <c r="BZ30" i="11"/>
  <c r="DK30" i="11" s="1"/>
  <c r="CL29" i="6"/>
  <c r="CF34" i="11"/>
  <c r="CN42" i="40"/>
  <c r="CN45" i="40" s="1"/>
  <c r="BA10" i="13"/>
  <c r="AW10" i="13"/>
  <c r="AU10" i="13"/>
  <c r="AZ10" i="13"/>
  <c r="AY10" i="13"/>
  <c r="AX10" i="13"/>
  <c r="BZ37" i="11"/>
  <c r="CF32" i="6"/>
  <c r="BZ32" i="11"/>
  <c r="CL33" i="6"/>
  <c r="CL27" i="6"/>
  <c r="DM27" i="6" s="1"/>
  <c r="CL26" i="6"/>
  <c r="CL33" i="11"/>
  <c r="BN36" i="6"/>
  <c r="BZ36" i="11"/>
  <c r="BZ29" i="11"/>
  <c r="CL35" i="6"/>
  <c r="BN31" i="6"/>
  <c r="BN27" i="6"/>
  <c r="DI27" i="6" s="1"/>
  <c r="BN35" i="11"/>
  <c r="BN34" i="11"/>
  <c r="DI34" i="11"/>
  <c r="BN31" i="11"/>
  <c r="BN30" i="11"/>
  <c r="AV32" i="11"/>
  <c r="DF32" i="11"/>
  <c r="BB36" i="11"/>
  <c r="H12" i="29"/>
  <c r="AV31" i="11"/>
  <c r="BB34" i="6"/>
  <c r="AV35" i="11"/>
  <c r="DF35" i="11" s="1"/>
  <c r="AV34" i="11"/>
  <c r="AV30" i="11"/>
  <c r="DF30" i="11" s="1"/>
  <c r="BB34" i="11"/>
  <c r="DG34" i="11" s="1"/>
  <c r="BB31" i="6"/>
  <c r="BB26" i="6"/>
  <c r="DG26" i="6" s="1"/>
  <c r="AV30" i="6"/>
  <c r="BT28" i="6"/>
  <c r="BB35" i="6"/>
  <c r="BB30" i="6"/>
  <c r="AV34" i="6"/>
  <c r="BT35" i="11"/>
  <c r="BB38" i="6"/>
  <c r="DG38" i="6" s="1"/>
  <c r="BB27" i="6"/>
  <c r="BZ37" i="6"/>
  <c r="V42" i="40"/>
  <c r="V45" i="40" s="1"/>
  <c r="Y42" i="40"/>
  <c r="Y45" i="40" s="1"/>
  <c r="T42" i="40"/>
  <c r="X42" i="40"/>
  <c r="W42" i="40"/>
  <c r="Z42" i="40"/>
  <c r="Z45" i="40" s="1"/>
  <c r="S42" i="40"/>
  <c r="BZ33" i="6"/>
  <c r="CL36" i="6"/>
  <c r="DM36" i="6" s="1"/>
  <c r="CL28" i="6"/>
  <c r="AV37" i="11"/>
  <c r="DF37" i="11" s="1"/>
  <c r="BB33" i="6"/>
  <c r="DG33" i="6" s="1"/>
  <c r="BT37" i="6"/>
  <c r="BT32" i="6"/>
  <c r="BZ31" i="6"/>
  <c r="CF38" i="6"/>
  <c r="CF30" i="6"/>
  <c r="DL30" i="6" s="1"/>
  <c r="BB37" i="6"/>
  <c r="BB29" i="6"/>
  <c r="DG29" i="6" s="1"/>
  <c r="BT29" i="6"/>
  <c r="BT31" i="11"/>
  <c r="BZ35" i="6"/>
  <c r="CF35" i="6"/>
  <c r="CF27" i="6"/>
  <c r="DL27" i="6" s="1"/>
  <c r="BT35" i="6"/>
  <c r="BT27" i="6"/>
  <c r="DJ27" i="6" s="1"/>
  <c r="BZ36" i="6"/>
  <c r="BZ32" i="6"/>
  <c r="BZ28" i="6"/>
  <c r="CL32" i="6"/>
  <c r="DM32" i="6" s="1"/>
  <c r="CF32" i="11"/>
  <c r="BN32" i="11"/>
  <c r="DI32" i="11" s="1"/>
  <c r="BT31" i="6"/>
  <c r="BZ34" i="6"/>
  <c r="BZ30" i="6"/>
  <c r="BZ26" i="6"/>
  <c r="CL36" i="11"/>
  <c r="DM36" i="11"/>
  <c r="CF37" i="11"/>
  <c r="CF31" i="6"/>
  <c r="CF26" i="6"/>
  <c r="DL26" i="6"/>
  <c r="CF36" i="11"/>
  <c r="BN38" i="6"/>
  <c r="BN30" i="6"/>
  <c r="DI30" i="6"/>
  <c r="D20" i="29"/>
  <c r="CF34" i="6"/>
  <c r="DL34" i="6" s="1"/>
  <c r="CF33" i="11"/>
  <c r="CF33" i="6"/>
  <c r="DL33" i="6" s="1"/>
  <c r="CF31" i="11"/>
  <c r="DL31" i="11" s="1"/>
  <c r="BN34" i="6"/>
  <c r="DI34" i="6" s="1"/>
  <c r="CK16" i="5"/>
  <c r="CF37" i="6"/>
  <c r="DL37" i="6" s="1"/>
  <c r="CF29" i="6"/>
  <c r="DL29" i="6" s="1"/>
  <c r="CF35" i="11"/>
  <c r="DL35" i="11" s="1"/>
  <c r="BN26" i="6"/>
  <c r="DI26" i="6" s="1"/>
  <c r="CK17" i="5"/>
  <c r="CB42" i="40"/>
  <c r="CB45" i="40" s="1"/>
  <c r="BN36" i="11"/>
  <c r="E20" i="29"/>
  <c r="AN17" i="5" s="1"/>
  <c r="AR17" i="5"/>
  <c r="AO17" i="5"/>
  <c r="AQ16" i="5"/>
  <c r="AN16" i="5"/>
  <c r="AR16" i="5"/>
  <c r="BM4" i="52"/>
  <c r="AE5" i="9"/>
  <c r="M17" i="44"/>
  <c r="AZ6" i="11"/>
  <c r="AC5" i="8"/>
  <c r="U30" i="44"/>
  <c r="K6" i="6"/>
  <c r="AY6" i="12"/>
  <c r="CQ5" i="47"/>
  <c r="AD17" i="44"/>
  <c r="X4" i="52"/>
  <c r="AH42" i="54"/>
  <c r="AV6" i="12"/>
  <c r="AL5" i="13"/>
  <c r="CI5" i="47"/>
  <c r="Q42" i="54"/>
  <c r="AR6" i="6"/>
  <c r="AT5" i="13"/>
  <c r="AU5" i="55"/>
  <c r="CI5" i="40"/>
  <c r="AX6" i="11"/>
  <c r="AV5" i="40"/>
  <c r="BL42" i="54"/>
  <c r="G18" i="28"/>
  <c r="F18" i="28"/>
  <c r="L31" i="23"/>
  <c r="CS6" i="12"/>
  <c r="CQ5" i="4"/>
  <c r="AU6" i="11"/>
  <c r="BY5" i="8"/>
  <c r="J5" i="55"/>
  <c r="R5" i="17"/>
  <c r="AW6" i="6"/>
  <c r="AI5" i="5"/>
  <c r="E42" i="54"/>
  <c r="BB4" i="54"/>
  <c r="D4" i="54"/>
  <c r="AG5" i="9"/>
  <c r="K6" i="7"/>
  <c r="BD5" i="55"/>
  <c r="AU5" i="13"/>
  <c r="AI6" i="11"/>
  <c r="AW6" i="11"/>
  <c r="AY6" i="11"/>
  <c r="BA6" i="11"/>
  <c r="CO6" i="11"/>
  <c r="C9" i="44"/>
  <c r="AB5" i="4"/>
  <c r="S41" i="40"/>
  <c r="AD6" i="12"/>
  <c r="AD5" i="8"/>
  <c r="L44" i="44"/>
  <c r="AT6" i="12"/>
  <c r="AH5" i="5"/>
  <c r="AE44" i="44"/>
  <c r="AI6" i="6"/>
  <c r="BZ5" i="47"/>
  <c r="T5" i="4"/>
  <c r="T5" i="40"/>
  <c r="Y6" i="53"/>
  <c r="AK5" i="5"/>
  <c r="AL5" i="47"/>
  <c r="CI5" i="9"/>
  <c r="AD30" i="44"/>
  <c r="J6" i="6"/>
  <c r="S5" i="4"/>
  <c r="U9" i="44"/>
  <c r="AF5" i="4"/>
  <c r="BL4" i="52"/>
  <c r="CQ5" i="5"/>
  <c r="AT5" i="15"/>
  <c r="M19" i="23"/>
  <c r="AL5" i="55"/>
  <c r="AX6" i="7"/>
  <c r="CD6" i="12"/>
  <c r="AL5" i="8"/>
  <c r="CR5" i="4"/>
  <c r="I6" i="12"/>
  <c r="CH5" i="4"/>
  <c r="C44" i="44"/>
  <c r="DF6" i="11"/>
  <c r="S5" i="13"/>
  <c r="AB5" i="13"/>
  <c r="AS6" i="11"/>
  <c r="AR4" i="54"/>
  <c r="S5" i="9"/>
  <c r="CN6" i="7"/>
  <c r="AH6" i="7"/>
  <c r="AQ6" i="7"/>
  <c r="AR6" i="7"/>
  <c r="AS6" i="7"/>
  <c r="AT6" i="7"/>
  <c r="AU6" i="7"/>
  <c r="CH5" i="9"/>
  <c r="AU6" i="6"/>
  <c r="AV6" i="7"/>
  <c r="AB5" i="8"/>
  <c r="N4" i="52"/>
  <c r="BB42" i="54"/>
  <c r="CR5" i="5"/>
  <c r="AH5" i="9"/>
  <c r="BZ5" i="8"/>
  <c r="T5" i="8"/>
  <c r="AL5" i="4"/>
  <c r="AJ5" i="9"/>
  <c r="BZ5" i="40"/>
  <c r="O4" i="52"/>
  <c r="T5" i="5"/>
  <c r="M31" i="23"/>
  <c r="AI4" i="54"/>
  <c r="AR6" i="12"/>
  <c r="D44" i="44"/>
  <c r="BD5" i="13"/>
  <c r="AC5" i="55"/>
  <c r="O6" i="53"/>
  <c r="BA6" i="7"/>
  <c r="CH5" i="40"/>
  <c r="Q6" i="12"/>
  <c r="BC5" i="13"/>
  <c r="AG5" i="47"/>
  <c r="BY41" i="40"/>
  <c r="AT6" i="6"/>
  <c r="AH6" i="6"/>
  <c r="AS5" i="15"/>
  <c r="L9" i="44"/>
  <c r="BB36" i="52"/>
  <c r="AM6" i="12"/>
  <c r="AD44" i="44"/>
  <c r="CN6" i="6"/>
  <c r="AD9" i="44"/>
  <c r="D32" i="53"/>
  <c r="AM5" i="9"/>
  <c r="AI5" i="8"/>
  <c r="CR5" i="9"/>
  <c r="BZ5" i="9"/>
  <c r="K5" i="13"/>
  <c r="AM5" i="4"/>
  <c r="CO6" i="6"/>
  <c r="BC42" i="54"/>
  <c r="R45" i="12"/>
  <c r="AY6" i="7"/>
  <c r="CR5" i="47"/>
  <c r="CT45" i="12"/>
  <c r="CZ6" i="7"/>
  <c r="AN5" i="55"/>
  <c r="BM6" i="11"/>
  <c r="CK41" i="40"/>
  <c r="AZ6" i="12"/>
  <c r="AA6" i="53"/>
  <c r="AX5" i="40"/>
  <c r="K40" i="19"/>
  <c r="AA4" i="52"/>
  <c r="P5" i="8"/>
  <c r="AD5" i="15"/>
  <c r="AE5" i="55"/>
  <c r="AU4" i="54"/>
  <c r="G32" i="53"/>
  <c r="CT5" i="9"/>
  <c r="CE6" i="12"/>
  <c r="AX5" i="5"/>
  <c r="AU5" i="8"/>
  <c r="X9" i="44"/>
  <c r="O17" i="44"/>
  <c r="BJ6" i="11"/>
  <c r="V5" i="40"/>
  <c r="AK4" i="54"/>
  <c r="Q4" i="54"/>
  <c r="BK6" i="6"/>
  <c r="AV5" i="15"/>
  <c r="H8" i="26"/>
  <c r="M5" i="55"/>
  <c r="BE4" i="52"/>
  <c r="G4" i="52"/>
  <c r="AW5" i="5"/>
  <c r="AW16" i="5"/>
  <c r="AW5" i="13"/>
  <c r="BE36" i="52"/>
  <c r="G4" i="54"/>
  <c r="M5" i="8"/>
  <c r="BK6" i="7"/>
  <c r="AY5" i="4"/>
  <c r="BM6" i="6"/>
  <c r="O30" i="44"/>
  <c r="AG17" i="44"/>
  <c r="U5" i="15"/>
  <c r="CB5" i="4"/>
  <c r="AK42" i="54"/>
  <c r="V5" i="55"/>
  <c r="AY5" i="8"/>
  <c r="BO4" i="52"/>
  <c r="CT5" i="5"/>
  <c r="M6" i="6"/>
  <c r="W6" i="6"/>
  <c r="CT5" i="4"/>
  <c r="AY5" i="9"/>
  <c r="V5" i="8"/>
  <c r="AG9" i="44"/>
  <c r="BK6" i="11"/>
  <c r="AU5" i="40"/>
  <c r="AU41" i="40"/>
  <c r="AM5" i="15"/>
  <c r="AU5" i="4"/>
  <c r="CK5" i="9"/>
  <c r="AW5" i="40"/>
  <c r="V5" i="5"/>
  <c r="G41" i="53"/>
  <c r="BF5" i="13"/>
  <c r="BE4" i="54"/>
  <c r="BC5" i="55"/>
  <c r="N42" i="54"/>
  <c r="J5" i="13"/>
  <c r="AQ6" i="6"/>
  <c r="AT5" i="55"/>
  <c r="AR4" i="52"/>
  <c r="N6" i="53"/>
  <c r="AR6" i="11"/>
  <c r="S5" i="5"/>
  <c r="AC5" i="5"/>
  <c r="AC21" i="5"/>
  <c r="L17" i="44"/>
  <c r="J41" i="40"/>
  <c r="BY5" i="5"/>
  <c r="N4" i="54"/>
  <c r="AB5" i="47"/>
  <c r="AS6" i="6"/>
  <c r="CN6" i="11"/>
  <c r="C30" i="44"/>
  <c r="AC5" i="4"/>
  <c r="I5" i="15"/>
  <c r="AC5" i="9"/>
  <c r="E5" i="17"/>
  <c r="J5" i="40"/>
  <c r="AG5" i="8"/>
  <c r="AV6" i="6"/>
  <c r="AH4" i="54"/>
  <c r="S5" i="40"/>
  <c r="AG5" i="4"/>
  <c r="N32" i="53"/>
  <c r="X6" i="53"/>
  <c r="CS45" i="12"/>
  <c r="CW6" i="6"/>
  <c r="AN6" i="12"/>
  <c r="AF5" i="9"/>
  <c r="CW6" i="11"/>
  <c r="AD5" i="5"/>
  <c r="T6" i="11"/>
  <c r="H6" i="12"/>
  <c r="D4" i="52"/>
  <c r="BB5" i="15"/>
  <c r="AG5" i="5"/>
  <c r="CQ5" i="40"/>
  <c r="AB5" i="5"/>
  <c r="BY5" i="9"/>
  <c r="AB5" i="55"/>
  <c r="S5" i="8"/>
  <c r="Q5" i="17"/>
  <c r="L2" i="44"/>
  <c r="CK6" i="12"/>
  <c r="AF5" i="5"/>
  <c r="BY5" i="4"/>
  <c r="Q45" i="12"/>
  <c r="AO6" i="12"/>
  <c r="CQ5" i="9"/>
  <c r="AE5" i="8"/>
  <c r="BC4" i="54"/>
  <c r="CI5" i="5"/>
  <c r="M2" i="44"/>
  <c r="CR5" i="40"/>
  <c r="U6" i="11"/>
  <c r="AI5" i="9"/>
  <c r="CX6" i="6"/>
  <c r="CR5" i="8"/>
  <c r="AH5" i="4"/>
  <c r="AK5" i="4"/>
  <c r="AI42" i="54"/>
  <c r="AS42" i="54"/>
  <c r="E32" i="53"/>
  <c r="V44" i="44"/>
  <c r="S5" i="15"/>
  <c r="V9" i="44"/>
  <c r="CI5" i="8"/>
  <c r="AK5" i="9"/>
  <c r="V30" i="44"/>
  <c r="O32" i="53"/>
  <c r="AE6" i="12"/>
  <c r="BC5" i="15"/>
  <c r="K6" i="11"/>
  <c r="AE17" i="44"/>
  <c r="AE9" i="44"/>
  <c r="Y4" i="52"/>
  <c r="BC4" i="52"/>
  <c r="AM5" i="8"/>
  <c r="T5" i="47"/>
  <c r="D17" i="44"/>
  <c r="AJ5" i="4"/>
  <c r="AS6" i="12"/>
  <c r="AL5" i="9"/>
  <c r="BB6" i="6"/>
  <c r="E41" i="53"/>
  <c r="M9" i="44"/>
  <c r="BB6" i="11"/>
  <c r="AK5" i="8"/>
  <c r="AS4" i="54"/>
  <c r="K5" i="47"/>
  <c r="V17" i="44"/>
  <c r="AW6" i="7"/>
  <c r="AI5" i="4"/>
  <c r="DG6" i="6"/>
  <c r="AZ6" i="6"/>
  <c r="O42" i="54"/>
  <c r="I40" i="19"/>
  <c r="AL5" i="5"/>
  <c r="M44" i="44"/>
  <c r="CI5" i="4"/>
  <c r="AM5" i="5"/>
  <c r="AB5" i="15"/>
  <c r="K41" i="40"/>
  <c r="D9" i="44"/>
  <c r="CO6" i="7"/>
  <c r="AW6" i="12"/>
  <c r="O4" i="54"/>
  <c r="AS4" i="52"/>
  <c r="T41" i="40"/>
  <c r="AH5" i="8"/>
  <c r="DG6" i="11"/>
  <c r="AY6" i="6"/>
  <c r="E4" i="52"/>
  <c r="AC5" i="13"/>
  <c r="AX6" i="6"/>
  <c r="CI41" i="40"/>
  <c r="BZ5" i="4"/>
  <c r="K5" i="40"/>
  <c r="AQ6" i="11"/>
  <c r="AE5" i="5"/>
  <c r="AV6" i="11"/>
  <c r="M3" i="23"/>
  <c r="CC6" i="12"/>
  <c r="AD5" i="9"/>
  <c r="L7" i="23"/>
  <c r="S5" i="47"/>
  <c r="CW6" i="7"/>
  <c r="H40" i="19"/>
  <c r="AK5" i="13"/>
  <c r="J6" i="11"/>
  <c r="AH6" i="11"/>
  <c r="AT6" i="11"/>
  <c r="AF5" i="8"/>
  <c r="DF6" i="7"/>
  <c r="U17" i="44"/>
  <c r="AA5" i="15"/>
  <c r="CQ5" i="8"/>
  <c r="D6" i="53"/>
  <c r="D41" i="53"/>
  <c r="D42" i="54"/>
  <c r="CX6" i="7"/>
  <c r="BB6" i="7"/>
  <c r="CL6" i="12"/>
  <c r="BZ41" i="40"/>
  <c r="BA6" i="6"/>
  <c r="AJ5" i="5"/>
  <c r="AM5" i="47"/>
  <c r="AZ6" i="7"/>
  <c r="E6" i="53"/>
  <c r="R6" i="12"/>
  <c r="AJ5" i="8"/>
  <c r="T5" i="13"/>
  <c r="K5" i="55"/>
  <c r="T5" i="55"/>
  <c r="D30" i="44"/>
  <c r="AU6" i="12"/>
  <c r="DG6" i="7"/>
  <c r="AE30" i="44"/>
  <c r="J5" i="15"/>
  <c r="T5" i="9"/>
  <c r="E4" i="54"/>
  <c r="AE5" i="4"/>
  <c r="BB4" i="52"/>
  <c r="J5" i="47"/>
  <c r="AL6" i="12"/>
  <c r="CH5" i="47"/>
  <c r="AQ6" i="12"/>
  <c r="AB5" i="9"/>
  <c r="DF6" i="6"/>
  <c r="U44" i="44"/>
  <c r="AD5" i="4"/>
  <c r="CH5" i="8"/>
  <c r="L30" i="44"/>
  <c r="CH41" i="40"/>
  <c r="C17" i="44"/>
  <c r="AP6" i="12"/>
  <c r="J6" i="7"/>
  <c r="L19" i="23"/>
  <c r="CH5" i="5"/>
  <c r="BY5" i="40"/>
  <c r="M30" i="44"/>
  <c r="CX6" i="11"/>
  <c r="M7" i="23"/>
  <c r="CT6" i="12"/>
  <c r="BZ5" i="5"/>
  <c r="BF5" i="55"/>
  <c r="AU42" i="54"/>
  <c r="BL4" i="54"/>
  <c r="G8" i="20"/>
  <c r="CB5" i="8"/>
  <c r="BN6" i="6"/>
  <c r="AV5" i="5"/>
  <c r="O31" i="23"/>
  <c r="AE5" i="13"/>
  <c r="M41" i="40"/>
  <c r="CT5" i="47"/>
  <c r="V41" i="40"/>
  <c r="M5" i="47"/>
  <c r="CU45" i="12"/>
  <c r="W6" i="11"/>
  <c r="X30" i="44"/>
  <c r="O9" i="44"/>
  <c r="CZ6" i="11"/>
  <c r="AV5" i="8"/>
  <c r="CT5" i="8"/>
  <c r="BL6" i="6"/>
  <c r="M5" i="9"/>
  <c r="DI6" i="6"/>
  <c r="BC6" i="12"/>
  <c r="M5" i="4"/>
  <c r="M6" i="7"/>
  <c r="F30" i="44"/>
  <c r="Q4" i="52"/>
  <c r="Q32" i="53"/>
  <c r="G6" i="53"/>
  <c r="AU4" i="52"/>
  <c r="AY5" i="5"/>
  <c r="AK6" i="6"/>
  <c r="CM6" i="12"/>
  <c r="O7" i="23"/>
  <c r="M5" i="13"/>
  <c r="AT5" i="40"/>
  <c r="AT41" i="40"/>
  <c r="V5" i="47"/>
  <c r="AY5" i="40"/>
  <c r="AY41" i="40"/>
  <c r="AT5" i="47"/>
  <c r="M6" i="11"/>
  <c r="AY5" i="47"/>
  <c r="X44" i="44"/>
  <c r="F17" i="44"/>
  <c r="CB5" i="47"/>
  <c r="BL6" i="11"/>
  <c r="V5" i="9"/>
  <c r="AX5" i="9"/>
  <c r="BI6" i="7"/>
  <c r="T5" i="17"/>
  <c r="BI6" i="6"/>
  <c r="CB5" i="5"/>
  <c r="AW5" i="4"/>
  <c r="V5" i="4"/>
  <c r="J6" i="12"/>
  <c r="BJ6" i="6"/>
  <c r="AX5" i="8"/>
  <c r="AW5" i="55"/>
  <c r="AX6" i="12"/>
  <c r="BE5" i="15"/>
  <c r="AW5" i="47"/>
  <c r="M5" i="40"/>
  <c r="CK5" i="40"/>
  <c r="F44" i="44"/>
  <c r="CB5" i="9"/>
  <c r="AW5" i="9"/>
  <c r="BN6" i="7"/>
  <c r="BJ6" i="7"/>
  <c r="S6" i="12"/>
  <c r="AT5" i="9"/>
  <c r="CK5" i="4"/>
  <c r="CZ6" i="6"/>
  <c r="G42" i="54"/>
  <c r="L5" i="15"/>
  <c r="AK6" i="11"/>
  <c r="CB5" i="40"/>
  <c r="CB41" i="40"/>
  <c r="CK5" i="8"/>
  <c r="S45" i="12"/>
  <c r="DI6" i="7"/>
  <c r="AU5" i="5"/>
  <c r="CQ6" i="11"/>
  <c r="AF6" i="12"/>
  <c r="CK5" i="47"/>
  <c r="BE42" i="54"/>
  <c r="O19" i="23"/>
  <c r="AN5" i="13"/>
  <c r="CT5" i="40"/>
  <c r="H5" i="17"/>
  <c r="O44" i="44"/>
  <c r="AT5" i="5"/>
  <c r="AT5" i="4"/>
  <c r="CQ6" i="7"/>
  <c r="CK5" i="5"/>
  <c r="BB6" i="12"/>
  <c r="M5" i="5"/>
  <c r="Q6" i="53"/>
  <c r="O2" i="44"/>
  <c r="BN6" i="11"/>
  <c r="AG44" i="44"/>
  <c r="AV5" i="9"/>
  <c r="BL6" i="7"/>
  <c r="CU6" i="12"/>
  <c r="W6" i="7"/>
  <c r="F9" i="44"/>
  <c r="BI6" i="11"/>
  <c r="AK6" i="7"/>
  <c r="AU5" i="9"/>
  <c r="AX5" i="4"/>
  <c r="DI6" i="11"/>
  <c r="AV5" i="4"/>
  <c r="X17" i="44"/>
  <c r="BM6" i="7"/>
  <c r="AT5" i="8"/>
  <c r="AW5" i="8"/>
  <c r="V5" i="13"/>
  <c r="AG30" i="44"/>
  <c r="BA6" i="12"/>
  <c r="O49" i="40"/>
  <c r="Q47" i="40"/>
  <c r="Q49" i="40" s="1"/>
  <c r="AA41" i="6"/>
  <c r="S45" i="40"/>
  <c r="X45" i="40"/>
  <c r="T45" i="40"/>
  <c r="AW41" i="40"/>
  <c r="AV41" i="40"/>
  <c r="AX42" i="40"/>
  <c r="AX45" i="40" s="1"/>
  <c r="AX41" i="40"/>
  <c r="O9" i="53"/>
  <c r="AK17" i="5"/>
  <c r="AD42" i="40"/>
  <c r="AD45" i="40" s="1"/>
  <c r="AV42" i="40"/>
  <c r="AV45" i="40" s="1"/>
  <c r="CR20" i="8"/>
  <c r="AI17" i="5"/>
  <c r="AC19" i="5"/>
  <c r="P6" i="6"/>
  <c r="CR19" i="5"/>
  <c r="S17" i="5"/>
  <c r="AJ42" i="40"/>
  <c r="AJ45" i="40" s="1"/>
  <c r="AF42" i="40"/>
  <c r="AF45" i="40" s="1"/>
  <c r="CQ25" i="8"/>
  <c r="T17" i="5"/>
  <c r="AF21" i="5"/>
  <c r="AX16" i="5"/>
  <c r="AE20" i="5"/>
  <c r="AF20" i="5"/>
  <c r="AF19" i="5"/>
  <c r="AC16" i="5"/>
  <c r="AL16" i="5"/>
  <c r="AL17" i="5"/>
  <c r="CE41" i="40"/>
  <c r="T4" i="54"/>
  <c r="DL6" i="6"/>
  <c r="CQ22" i="8"/>
  <c r="CQ17" i="8"/>
  <c r="CQ21" i="8"/>
  <c r="AC17" i="5"/>
  <c r="AB16" i="5"/>
  <c r="AC20" i="5"/>
  <c r="AJ17" i="5"/>
  <c r="AJ16" i="5"/>
  <c r="CA6" i="11"/>
  <c r="BO42" i="54"/>
  <c r="BI5" i="55"/>
  <c r="AH16" i="5"/>
  <c r="AH17" i="5"/>
  <c r="CN5" i="8"/>
  <c r="R44" i="44"/>
  <c r="CN5" i="47"/>
  <c r="CC6" i="6"/>
  <c r="AQ5" i="13"/>
  <c r="BS6" i="12"/>
  <c r="P5" i="40"/>
  <c r="BQ5" i="47"/>
  <c r="AA44" i="44"/>
  <c r="BR4" i="52"/>
  <c r="R9" i="44"/>
  <c r="J6" i="53"/>
  <c r="AA9" i="44"/>
  <c r="CX6" i="12"/>
  <c r="DC6" i="6"/>
  <c r="R7" i="23"/>
  <c r="P41" i="40"/>
  <c r="BP5" i="4"/>
  <c r="BL5" i="4"/>
  <c r="BM5" i="4"/>
  <c r="BN5" i="4"/>
  <c r="BO5" i="4"/>
  <c r="BY17" i="5"/>
  <c r="CQ21" i="5"/>
  <c r="AE21" i="5"/>
  <c r="AD17" i="5"/>
  <c r="AT16" i="5"/>
  <c r="AT17" i="5"/>
  <c r="AK42" i="40"/>
  <c r="AK45" i="40" s="1"/>
  <c r="AD20" i="5"/>
  <c r="AU42" i="40"/>
  <c r="S16" i="5"/>
  <c r="AD19" i="5"/>
  <c r="AI42" i="40"/>
  <c r="AI45" i="40" s="1"/>
  <c r="AB42" i="40"/>
  <c r="AB45" i="40" s="1"/>
  <c r="BO5" i="40"/>
  <c r="AZ5" i="55"/>
  <c r="BL5" i="8"/>
  <c r="CD6" i="7"/>
  <c r="Y5" i="8"/>
  <c r="BH5" i="15"/>
  <c r="BN5" i="9"/>
  <c r="CE5" i="8"/>
  <c r="BO4" i="54"/>
  <c r="AH5" i="13"/>
  <c r="BH4" i="54"/>
  <c r="Y5" i="55"/>
  <c r="X5" i="15"/>
  <c r="Y5" i="9"/>
  <c r="CB6" i="11"/>
  <c r="CA6" i="6"/>
  <c r="AD6" i="53"/>
  <c r="CE5" i="47"/>
  <c r="CE6" i="7"/>
  <c r="CW5" i="40"/>
  <c r="CB6" i="7"/>
  <c r="T16" i="5"/>
  <c r="AL42" i="40"/>
  <c r="AL45" i="40" s="1"/>
  <c r="AX17" i="5"/>
  <c r="AV16" i="5"/>
  <c r="AY16" i="5" s="1"/>
  <c r="AY37" i="5" s="1"/>
  <c r="AW42" i="40"/>
  <c r="AW45" i="40" s="1"/>
  <c r="BO5" i="9"/>
  <c r="T42" i="54"/>
  <c r="AD4" i="52"/>
  <c r="BO5" i="5"/>
  <c r="AA17" i="44"/>
  <c r="CX45" i="12"/>
  <c r="AN6" i="7"/>
  <c r="AQ5" i="55"/>
  <c r="J8" i="20"/>
  <c r="AJ30" i="44"/>
  <c r="DC6" i="11"/>
  <c r="AZ5" i="13"/>
  <c r="BR6" i="12"/>
  <c r="V45" i="12"/>
  <c r="Y5" i="5"/>
  <c r="AN6" i="11"/>
  <c r="BM5" i="8"/>
  <c r="BP5" i="8"/>
  <c r="P5" i="9"/>
  <c r="I44" i="44"/>
  <c r="N40" i="19"/>
  <c r="BP6" i="12"/>
  <c r="BQ5" i="4"/>
  <c r="BH42" i="54"/>
  <c r="BN5" i="40"/>
  <c r="CB6" i="6"/>
  <c r="CN41" i="40"/>
  <c r="J41" i="53"/>
  <c r="O5" i="15"/>
  <c r="BN5" i="8"/>
  <c r="CE5" i="40"/>
  <c r="P5" i="47"/>
  <c r="AJ9" i="44"/>
  <c r="P5" i="55"/>
  <c r="J4" i="52"/>
  <c r="CW5" i="9"/>
  <c r="BM5" i="40"/>
  <c r="CT6" i="7"/>
  <c r="CD6" i="6"/>
  <c r="P5" i="13"/>
  <c r="CW5" i="5"/>
  <c r="DL6" i="11"/>
  <c r="DC6" i="7"/>
  <c r="K8" i="26"/>
  <c r="BO5" i="47"/>
  <c r="AE16" i="5"/>
  <c r="AE19" i="5"/>
  <c r="AU16" i="5"/>
  <c r="AE42" i="40"/>
  <c r="AE45" i="40" s="1"/>
  <c r="BJ38" i="11"/>
  <c r="BK38" i="11"/>
  <c r="AH5" i="55"/>
  <c r="AX4" i="54"/>
  <c r="BL5" i="47"/>
  <c r="AI6" i="12"/>
  <c r="AN42" i="54"/>
  <c r="AX42" i="54"/>
  <c r="T6" i="53"/>
  <c r="BL5" i="40"/>
  <c r="BL5" i="5"/>
  <c r="BM5" i="47"/>
  <c r="CE6" i="6"/>
  <c r="BU6" i="12"/>
  <c r="CN5" i="4"/>
  <c r="M6" i="12"/>
  <c r="CH6" i="12"/>
  <c r="BH4" i="52"/>
  <c r="CD6" i="11"/>
  <c r="CF6" i="6"/>
  <c r="CN5" i="5"/>
  <c r="R31" i="23"/>
  <c r="Y5" i="47"/>
  <c r="P5" i="5"/>
  <c r="BP5" i="47"/>
  <c r="AJ17" i="44"/>
  <c r="CC6" i="11"/>
  <c r="T32" i="53"/>
  <c r="I30" i="44"/>
  <c r="AP5" i="15"/>
  <c r="CW5" i="47"/>
  <c r="P6" i="11"/>
  <c r="R2" i="44"/>
  <c r="BQ5" i="5"/>
  <c r="Y5" i="4"/>
  <c r="AJ44" i="44"/>
  <c r="BQ5" i="40"/>
  <c r="BQ41" i="40"/>
  <c r="AY5" i="15"/>
  <c r="CT6" i="6"/>
  <c r="CW5" i="4"/>
  <c r="R17" i="44"/>
  <c r="BT6" i="12"/>
  <c r="CE5" i="5"/>
  <c r="R19" i="23"/>
  <c r="CW5" i="8"/>
  <c r="BQ6" i="12"/>
  <c r="BQ5" i="8"/>
  <c r="BN5" i="47"/>
  <c r="BH36" i="52"/>
  <c r="J4" i="54"/>
  <c r="Y5" i="13"/>
  <c r="DL6" i="7"/>
  <c r="BO5" i="8"/>
  <c r="AN4" i="54"/>
  <c r="J42" i="54"/>
  <c r="AX4" i="52"/>
  <c r="K5" i="17"/>
  <c r="AN6" i="6"/>
  <c r="BP5" i="9"/>
  <c r="CE5" i="9"/>
  <c r="BI5" i="13"/>
  <c r="BQ5" i="9"/>
  <c r="P5" i="4"/>
  <c r="CE6" i="11"/>
  <c r="V6" i="12"/>
  <c r="CF6" i="11"/>
  <c r="Y41" i="40"/>
  <c r="CF6" i="7"/>
  <c r="CC6" i="7"/>
  <c r="I9" i="44"/>
  <c r="CP6" i="12"/>
  <c r="W5" i="17"/>
  <c r="CA6" i="7"/>
  <c r="J32" i="53"/>
  <c r="BN5" i="5"/>
  <c r="CN5" i="40"/>
  <c r="Y5" i="40"/>
  <c r="BL5" i="9"/>
  <c r="Z6" i="11"/>
  <c r="BM5" i="5"/>
  <c r="P6" i="7"/>
  <c r="I17" i="44"/>
  <c r="CT6" i="11"/>
  <c r="BP5" i="5"/>
  <c r="CE5" i="4"/>
  <c r="AG5" i="15"/>
  <c r="Z6" i="6"/>
  <c r="T4" i="52"/>
  <c r="BP5" i="40"/>
  <c r="BP41" i="40"/>
  <c r="BM5" i="9"/>
  <c r="AA30" i="44"/>
  <c r="R30" i="44"/>
  <c r="CN5" i="9"/>
  <c r="Z6" i="7"/>
  <c r="AH42" i="40"/>
  <c r="AM42" i="40" s="1"/>
  <c r="CO38" i="11"/>
  <c r="CQ20" i="8"/>
  <c r="BY16" i="5"/>
  <c r="N5" i="13"/>
  <c r="M5" i="15"/>
  <c r="G44" i="44"/>
  <c r="Y9" i="44"/>
  <c r="AH30" i="44"/>
  <c r="W5" i="9"/>
  <c r="N41" i="40"/>
  <c r="CC41" i="40"/>
  <c r="G17" i="44"/>
  <c r="CF6" i="12"/>
  <c r="BC5" i="9"/>
  <c r="CU5" i="47"/>
  <c r="P9" i="44"/>
  <c r="DJ6" i="7"/>
  <c r="Y30" i="44"/>
  <c r="BC5" i="5"/>
  <c r="N5" i="40"/>
  <c r="BO6" i="6"/>
  <c r="W5" i="4"/>
  <c r="P19" i="23"/>
  <c r="BD5" i="4"/>
  <c r="BB5" i="9"/>
  <c r="R4" i="52"/>
  <c r="AV4" i="52"/>
  <c r="L40" i="19"/>
  <c r="AB4" i="52"/>
  <c r="V5" i="15"/>
  <c r="BB5" i="47"/>
  <c r="Y44" i="44"/>
  <c r="AH9" i="44"/>
  <c r="DA6" i="11"/>
  <c r="BB5" i="8"/>
  <c r="BQ6" i="6"/>
  <c r="BP6" i="11"/>
  <c r="T6" i="12"/>
  <c r="AL42" i="54"/>
  <c r="W5" i="13"/>
  <c r="CR6" i="11"/>
  <c r="BS6" i="11"/>
  <c r="CV45" i="12"/>
  <c r="CR6" i="7"/>
  <c r="BE5" i="4"/>
  <c r="W5" i="5"/>
  <c r="N5" i="5"/>
  <c r="BH6" i="12"/>
  <c r="BF36" i="52"/>
  <c r="BG5" i="55"/>
  <c r="P31" i="23"/>
  <c r="CL5" i="40"/>
  <c r="N5" i="8"/>
  <c r="BB5" i="5"/>
  <c r="DA6" i="6"/>
  <c r="CN6" i="12"/>
  <c r="AX5" i="13"/>
  <c r="P44" i="44"/>
  <c r="AH44" i="44"/>
  <c r="W41" i="40"/>
  <c r="I5" i="17"/>
  <c r="CC5" i="5"/>
  <c r="AL6" i="6"/>
  <c r="BD5" i="40"/>
  <c r="BD41" i="40"/>
  <c r="AX5" i="55"/>
  <c r="BM4" i="54"/>
  <c r="R6" i="53"/>
  <c r="BF4" i="52"/>
  <c r="H4" i="52"/>
  <c r="BB5" i="40"/>
  <c r="BB41" i="40"/>
  <c r="AL6" i="11"/>
  <c r="BA5" i="9"/>
  <c r="BR6" i="6"/>
  <c r="W5" i="8"/>
  <c r="BR6" i="7"/>
  <c r="BQ6" i="7"/>
  <c r="AL4" i="54"/>
  <c r="BF5" i="15"/>
  <c r="W5" i="40"/>
  <c r="AH17" i="44"/>
  <c r="N5" i="47"/>
  <c r="CL5" i="8"/>
  <c r="BP6" i="6"/>
  <c r="CL41" i="40"/>
  <c r="N5" i="55"/>
  <c r="R32" i="53"/>
  <c r="H6" i="53"/>
  <c r="H8" i="20"/>
  <c r="R4" i="54"/>
  <c r="AF5" i="55"/>
  <c r="AN5" i="15"/>
  <c r="BT6" i="11"/>
  <c r="BD5" i="9"/>
  <c r="AZ5" i="8"/>
  <c r="BS6" i="7"/>
  <c r="CU5" i="5"/>
  <c r="DJ6" i="6"/>
  <c r="T45" i="12"/>
  <c r="BD6" i="12"/>
  <c r="CC5" i="4"/>
  <c r="R42" i="54"/>
  <c r="AE5" i="15"/>
  <c r="BR6" i="11"/>
  <c r="G30" i="44"/>
  <c r="BE5" i="9"/>
  <c r="AL6" i="7"/>
  <c r="Y17" i="44"/>
  <c r="N5" i="9"/>
  <c r="BE5" i="8"/>
  <c r="G9" i="44"/>
  <c r="AV4" i="54"/>
  <c r="BF42" i="54"/>
  <c r="H4" i="54"/>
  <c r="CC5" i="40"/>
  <c r="CC5" i="8"/>
  <c r="CU5" i="9"/>
  <c r="CR6" i="6"/>
  <c r="W5" i="47"/>
  <c r="P17" i="44"/>
  <c r="BO6" i="7"/>
  <c r="N5" i="4"/>
  <c r="BT6" i="6"/>
  <c r="CC5" i="9"/>
  <c r="P7" i="23"/>
  <c r="AB6" i="53"/>
  <c r="N6" i="11"/>
  <c r="BA5" i="4"/>
  <c r="W5" i="55"/>
  <c r="CL5" i="5"/>
  <c r="N6" i="6"/>
  <c r="BB5" i="4"/>
  <c r="BF4" i="54"/>
  <c r="CC5" i="47"/>
  <c r="K6" i="12"/>
  <c r="AF5" i="13"/>
  <c r="BT6" i="7"/>
  <c r="BE5" i="5"/>
  <c r="AG6" i="12"/>
  <c r="CU5" i="40"/>
  <c r="AZ5" i="40"/>
  <c r="AZ41" i="40"/>
  <c r="BG6" i="12"/>
  <c r="U5" i="17"/>
  <c r="X6" i="7"/>
  <c r="BO6" i="11"/>
  <c r="AV42" i="54"/>
  <c r="AO5" i="13"/>
  <c r="BC5" i="47"/>
  <c r="CU5" i="4"/>
  <c r="CL5" i="47"/>
  <c r="BE5" i="40"/>
  <c r="BE41" i="40"/>
  <c r="CV6" i="12"/>
  <c r="H42" i="54"/>
  <c r="BC5" i="4"/>
  <c r="BQ6" i="11"/>
  <c r="H41" i="53"/>
  <c r="AO5" i="55"/>
  <c r="AW5" i="15"/>
  <c r="BS6" i="6"/>
  <c r="BE6" i="12"/>
  <c r="P2" i="44"/>
  <c r="BD5" i="8"/>
  <c r="N6" i="7"/>
  <c r="BD5" i="5"/>
  <c r="CU5" i="8"/>
  <c r="BC5" i="8"/>
  <c r="BA5" i="40"/>
  <c r="BA41" i="40"/>
  <c r="BF6" i="12"/>
  <c r="CL5" i="4"/>
  <c r="AZ5" i="5"/>
  <c r="BP6" i="7"/>
  <c r="BG5" i="13"/>
  <c r="H32" i="53"/>
  <c r="BM42" i="54"/>
  <c r="BC5" i="40"/>
  <c r="BC41" i="40"/>
  <c r="P30" i="44"/>
  <c r="X6" i="11"/>
  <c r="BE5" i="47"/>
  <c r="BA5" i="8"/>
  <c r="AZ5" i="4"/>
  <c r="BI6" i="12"/>
  <c r="I8" i="26"/>
  <c r="BP4" i="52"/>
  <c r="DJ6" i="11"/>
  <c r="DA6" i="7"/>
  <c r="AZ5" i="9"/>
  <c r="X6" i="6"/>
  <c r="BA5" i="5"/>
  <c r="CL5" i="9"/>
  <c r="BN42" i="54"/>
  <c r="BJ6" i="12"/>
  <c r="BH5" i="40"/>
  <c r="BH41" i="40"/>
  <c r="CM5" i="4"/>
  <c r="AH6" i="12"/>
  <c r="CM5" i="5"/>
  <c r="BI5" i="8"/>
  <c r="Q31" i="23"/>
  <c r="AP5" i="13"/>
  <c r="AF5" i="15"/>
  <c r="BJ5" i="40"/>
  <c r="BJ41" i="40"/>
  <c r="CD5" i="47"/>
  <c r="BG5" i="40"/>
  <c r="BG41" i="40"/>
  <c r="CM5" i="47"/>
  <c r="Q30" i="44"/>
  <c r="BQ4" i="52"/>
  <c r="BJ5" i="9"/>
  <c r="BL6" i="12"/>
  <c r="J5" i="17"/>
  <c r="N5" i="15"/>
  <c r="AY5" i="13"/>
  <c r="CW45" i="12"/>
  <c r="Y6" i="11"/>
  <c r="CV5" i="40"/>
  <c r="CV5" i="47"/>
  <c r="S4" i="54"/>
  <c r="BI5" i="5"/>
  <c r="BJ5" i="4"/>
  <c r="BK5" i="5"/>
  <c r="BK5" i="9"/>
  <c r="AX5" i="15"/>
  <c r="X5" i="13"/>
  <c r="DB6" i="11"/>
  <c r="CS6" i="11"/>
  <c r="AI30" i="44"/>
  <c r="H9" i="44"/>
  <c r="BW6" i="11"/>
  <c r="O5" i="40"/>
  <c r="CM5" i="9"/>
  <c r="O6" i="7"/>
  <c r="BF5" i="9"/>
  <c r="BF5" i="8"/>
  <c r="BU6" i="7"/>
  <c r="BJ5" i="5"/>
  <c r="BI5" i="4"/>
  <c r="BK5" i="4"/>
  <c r="BU6" i="6"/>
  <c r="DK6" i="6"/>
  <c r="DK6" i="7"/>
  <c r="BY6" i="6"/>
  <c r="CV5" i="5"/>
  <c r="W5" i="15"/>
  <c r="BU6" i="11"/>
  <c r="Z9" i="44"/>
  <c r="X5" i="47"/>
  <c r="BX6" i="11"/>
  <c r="V5" i="17"/>
  <c r="BX6" i="7"/>
  <c r="CD5" i="9"/>
  <c r="O5" i="47"/>
  <c r="BZ6" i="7"/>
  <c r="O5" i="5"/>
  <c r="X5" i="4"/>
  <c r="DB6" i="6"/>
  <c r="BG5" i="4"/>
  <c r="BH5" i="5"/>
  <c r="Q19" i="23"/>
  <c r="BH5" i="13"/>
  <c r="CM41" i="40"/>
  <c r="H30" i="44"/>
  <c r="Z30" i="44"/>
  <c r="DK6" i="11"/>
  <c r="BI5" i="9"/>
  <c r="BW6" i="6"/>
  <c r="O5" i="8"/>
  <c r="AI44" i="44"/>
  <c r="Y6" i="7"/>
  <c r="BO6" i="12"/>
  <c r="BF5" i="4"/>
  <c r="BW6" i="7"/>
  <c r="Z17" i="44"/>
  <c r="L6" i="12"/>
  <c r="AC4" i="52"/>
  <c r="I4" i="52"/>
  <c r="CW6" i="12"/>
  <c r="BV6" i="7"/>
  <c r="Q2" i="44"/>
  <c r="BF5" i="40"/>
  <c r="BF41" i="40"/>
  <c r="CD5" i="40"/>
  <c r="H17" i="44"/>
  <c r="H44" i="44"/>
  <c r="CD5" i="8"/>
  <c r="X5" i="40"/>
  <c r="BK5" i="8"/>
  <c r="CS6" i="6"/>
  <c r="BK6" i="12"/>
  <c r="BM6" i="12"/>
  <c r="BJ5" i="8"/>
  <c r="AM6" i="7"/>
  <c r="BG36" i="52"/>
  <c r="Q44" i="44"/>
  <c r="BH5" i="8"/>
  <c r="O6" i="6"/>
  <c r="BG5" i="15"/>
  <c r="AI17" i="44"/>
  <c r="CM5" i="40"/>
  <c r="BH5" i="9"/>
  <c r="BV6" i="6"/>
  <c r="U45" i="12"/>
  <c r="Y6" i="6"/>
  <c r="BK5" i="47"/>
  <c r="CD5" i="4"/>
  <c r="X41" i="40"/>
  <c r="BZ6" i="11"/>
  <c r="BG5" i="9"/>
  <c r="X5" i="8"/>
  <c r="AM42" i="54"/>
  <c r="AW42" i="54"/>
  <c r="BH5" i="4"/>
  <c r="O5" i="55"/>
  <c r="S32" i="53"/>
  <c r="I6" i="53"/>
  <c r="M40" i="19"/>
  <c r="X5" i="5"/>
  <c r="CS6" i="7"/>
  <c r="BF5" i="5"/>
  <c r="BY6" i="7"/>
  <c r="CV5" i="8"/>
  <c r="AM6" i="11"/>
  <c r="BK5" i="40"/>
  <c r="BK41" i="40"/>
  <c r="O5" i="13"/>
  <c r="CO6" i="12"/>
  <c r="AW4" i="54"/>
  <c r="AM4" i="54"/>
  <c r="I42" i="54"/>
  <c r="CD5" i="5"/>
  <c r="I41" i="53"/>
  <c r="I32" i="53"/>
  <c r="AC6" i="53"/>
  <c r="CM5" i="8"/>
  <c r="BG5" i="5"/>
  <c r="BX6" i="6"/>
  <c r="X5" i="9"/>
  <c r="O41" i="40"/>
  <c r="BI5" i="40"/>
  <c r="BI41" i="40"/>
  <c r="BY6" i="11"/>
  <c r="AG5" i="13"/>
  <c r="BG4" i="54"/>
  <c r="BG4" i="52"/>
  <c r="AP5" i="55"/>
  <c r="BH5" i="55"/>
  <c r="S42" i="54"/>
  <c r="J8" i="26"/>
  <c r="Q17" i="44"/>
  <c r="S4" i="52"/>
  <c r="AW4" i="52"/>
  <c r="AG5" i="55"/>
  <c r="AM6" i="6"/>
  <c r="CV5" i="4"/>
  <c r="BG5" i="8"/>
  <c r="O6" i="11"/>
  <c r="Z44" i="44"/>
  <c r="Q9" i="44"/>
  <c r="BV6" i="11"/>
  <c r="CD41" i="40"/>
  <c r="Q7" i="23"/>
  <c r="X5" i="55"/>
  <c r="BG42" i="54"/>
  <c r="U6" i="12"/>
  <c r="AY5" i="55"/>
  <c r="BN4" i="54"/>
  <c r="S6" i="53"/>
  <c r="BN6" i="12"/>
  <c r="O5" i="9"/>
  <c r="CG6" i="12"/>
  <c r="DB6" i="7"/>
  <c r="CV5" i="9"/>
  <c r="AI9" i="44"/>
  <c r="BJ5" i="47"/>
  <c r="AO5" i="15"/>
  <c r="O5" i="4"/>
  <c r="BZ6" i="6"/>
  <c r="I8" i="20"/>
  <c r="I4" i="54"/>
  <c r="AC42" i="40"/>
  <c r="AC45" i="40" s="1"/>
  <c r="CT20" i="8"/>
  <c r="AO4" i="54"/>
  <c r="Q5" i="55"/>
  <c r="K8" i="20"/>
  <c r="U42" i="54"/>
  <c r="AE6" i="53"/>
  <c r="DD6" i="6"/>
  <c r="CO5" i="5"/>
  <c r="AR5" i="13"/>
  <c r="CH6" i="11"/>
  <c r="CU6" i="11"/>
  <c r="BI5" i="15"/>
  <c r="DM6" i="11"/>
  <c r="AA6" i="11"/>
  <c r="CJ6" i="7"/>
  <c r="BR5" i="5"/>
  <c r="BV5" i="4"/>
  <c r="CO5" i="8"/>
  <c r="CG6" i="6"/>
  <c r="CF5" i="9"/>
  <c r="Q6" i="6"/>
  <c r="BS5" i="8"/>
  <c r="Q6" i="7"/>
  <c r="J9" i="44"/>
  <c r="CX5" i="40"/>
  <c r="BT5" i="4"/>
  <c r="CI6" i="7"/>
  <c r="Z5" i="5"/>
  <c r="CX5" i="5"/>
  <c r="BW5" i="8"/>
  <c r="CX5" i="47"/>
  <c r="AJ6" i="12"/>
  <c r="CL6" i="7"/>
  <c r="Z5" i="40"/>
  <c r="BW5" i="47"/>
  <c r="AI5" i="13"/>
  <c r="CO5" i="47"/>
  <c r="BR5" i="8"/>
  <c r="DM6" i="7"/>
  <c r="BS5" i="4"/>
  <c r="BW5" i="5"/>
  <c r="Z5" i="9"/>
  <c r="Z5" i="47"/>
  <c r="BW6" i="12"/>
  <c r="Q41" i="40"/>
  <c r="BR5" i="9"/>
  <c r="Z5" i="8"/>
  <c r="Q5" i="40"/>
  <c r="W6" i="12"/>
  <c r="BW5" i="9"/>
  <c r="CF41" i="40"/>
  <c r="AO6" i="7"/>
  <c r="BV5" i="9"/>
  <c r="L5" i="17"/>
  <c r="Z5" i="55"/>
  <c r="AO42" i="54"/>
  <c r="BR5" i="4"/>
  <c r="Q5" i="5"/>
  <c r="CK6" i="11"/>
  <c r="S17" i="44"/>
  <c r="BU5" i="47"/>
  <c r="CF5" i="47"/>
  <c r="BU5" i="9"/>
  <c r="CY6" i="12"/>
  <c r="BU5" i="5"/>
  <c r="AA6" i="7"/>
  <c r="AB30" i="44"/>
  <c r="AA6" i="6"/>
  <c r="CF5" i="5"/>
  <c r="J17" i="44"/>
  <c r="BA5" i="13"/>
  <c r="CK6" i="7"/>
  <c r="CX5" i="8"/>
  <c r="CA6" i="12"/>
  <c r="Q5" i="13"/>
  <c r="BY6" i="12"/>
  <c r="AH5" i="15"/>
  <c r="BS5" i="40"/>
  <c r="BS41" i="40"/>
  <c r="AK30" i="44"/>
  <c r="CG6" i="11"/>
  <c r="J44" i="44"/>
  <c r="Q5" i="9"/>
  <c r="Q5" i="4"/>
  <c r="CF5" i="4"/>
  <c r="W45" i="12"/>
  <c r="AO6" i="11"/>
  <c r="CO5" i="40"/>
  <c r="CO5" i="9"/>
  <c r="S19" i="23"/>
  <c r="BZ6" i="12"/>
  <c r="CQ6" i="12"/>
  <c r="DM6" i="6"/>
  <c r="AK44" i="44"/>
  <c r="S30" i="44"/>
  <c r="CI6" i="12"/>
  <c r="CK6" i="6"/>
  <c r="CJ6" i="6"/>
  <c r="BS5" i="5"/>
  <c r="CY45" i="12"/>
  <c r="AB17" i="44"/>
  <c r="K41" i="53"/>
  <c r="AQ5" i="15"/>
  <c r="AB9" i="44"/>
  <c r="CI6" i="11"/>
  <c r="Q5" i="8"/>
  <c r="DD6" i="11"/>
  <c r="P5" i="15"/>
  <c r="Q5" i="47"/>
  <c r="CH6" i="7"/>
  <c r="BJ5" i="13"/>
  <c r="CU6" i="6"/>
  <c r="BU5" i="40"/>
  <c r="BU41" i="40"/>
  <c r="AK9" i="44"/>
  <c r="CL6" i="6"/>
  <c r="X5" i="17"/>
  <c r="BW5" i="40"/>
  <c r="BW41" i="40"/>
  <c r="BV5" i="5"/>
  <c r="CL6" i="11"/>
  <c r="CO41" i="40"/>
  <c r="S7" i="23"/>
  <c r="K32" i="53"/>
  <c r="Z5" i="4"/>
  <c r="Z41" i="40"/>
  <c r="N6" i="12"/>
  <c r="CI6" i="6"/>
  <c r="BV5" i="8"/>
  <c r="CF5" i="8"/>
  <c r="CU6" i="7"/>
  <c r="BS5" i="47"/>
  <c r="S31" i="23"/>
  <c r="AO6" i="6"/>
  <c r="CO5" i="4"/>
  <c r="AR5" i="55"/>
  <c r="BP42" i="54"/>
  <c r="BI4" i="54"/>
  <c r="U6" i="53"/>
  <c r="BT5" i="40"/>
  <c r="BT41" i="40"/>
  <c r="DD6" i="7"/>
  <c r="Z5" i="13"/>
  <c r="BU5" i="4"/>
  <c r="J30" i="44"/>
  <c r="S44" i="44"/>
  <c r="AB44" i="44"/>
  <c r="AK17" i="44"/>
  <c r="BS5" i="9"/>
  <c r="L8" i="26"/>
  <c r="AY42" i="54"/>
  <c r="O40" i="19"/>
  <c r="AE4" i="52"/>
  <c r="AI5" i="55"/>
  <c r="AY4" i="54"/>
  <c r="AY4" i="52"/>
  <c r="BT5" i="9"/>
  <c r="AZ5" i="15"/>
  <c r="Q6" i="11"/>
  <c r="BV6" i="12"/>
  <c r="BX6" i="12"/>
  <c r="CH6" i="6"/>
  <c r="BR5" i="47"/>
  <c r="BV5" i="47"/>
  <c r="BT5" i="47"/>
  <c r="U32" i="53"/>
  <c r="BI42" i="54"/>
  <c r="BI4" i="52"/>
  <c r="K4" i="52"/>
  <c r="BI36" i="52"/>
  <c r="K4" i="54"/>
  <c r="S9" i="44"/>
  <c r="BT5" i="8"/>
  <c r="BW5" i="4"/>
  <c r="BT5" i="5"/>
  <c r="BR5" i="40"/>
  <c r="BR41" i="40"/>
  <c r="BV5" i="40"/>
  <c r="BV41" i="40"/>
  <c r="BP4" i="54"/>
  <c r="BJ5" i="55"/>
  <c r="U4" i="54"/>
  <c r="BS4" i="52"/>
  <c r="BA5" i="55"/>
  <c r="Y5" i="15"/>
  <c r="CX5" i="4"/>
  <c r="BU5" i="8"/>
  <c r="CX5" i="9"/>
  <c r="CJ6" i="11"/>
  <c r="CG6" i="7"/>
  <c r="CF5" i="40"/>
  <c r="S2" i="44"/>
  <c r="K6" i="53"/>
  <c r="K42" i="54"/>
  <c r="U4" i="52"/>
  <c r="CB16" i="5"/>
  <c r="AT42" i="40"/>
  <c r="AT45" i="40" s="1"/>
  <c r="CR21" i="5"/>
  <c r="BZ17" i="5"/>
  <c r="AM17" i="5"/>
  <c r="CR20" i="5"/>
  <c r="BZ16" i="5"/>
  <c r="H17" i="19"/>
  <c r="CX38" i="11"/>
  <c r="I17" i="19"/>
  <c r="W8" i="19"/>
  <c r="DA38" i="11"/>
  <c r="DD38" i="11"/>
  <c r="DB38" i="11"/>
  <c r="DC38" i="11"/>
  <c r="CW38" i="11"/>
  <c r="CZ38" i="11"/>
  <c r="BO41" i="40"/>
  <c r="BN41" i="40"/>
  <c r="BL42" i="40"/>
  <c r="BL45" i="40" s="1"/>
  <c r="BL41" i="40"/>
  <c r="BM41" i="40"/>
  <c r="BN42" i="40"/>
  <c r="BN45" i="40" s="1"/>
  <c r="CR19" i="8"/>
  <c r="CR10" i="9"/>
  <c r="CQ19" i="5"/>
  <c r="CQ20" i="5"/>
  <c r="CR12" i="9"/>
  <c r="CR11" i="9"/>
  <c r="BO42" i="40"/>
  <c r="BO45" i="40" s="1"/>
  <c r="CR13" i="9"/>
  <c r="CW21" i="8"/>
  <c r="BO17" i="5"/>
  <c r="BO16" i="5"/>
  <c r="BP16" i="5"/>
  <c r="BQ16" i="5" s="1"/>
  <c r="BQ37" i="5" s="1"/>
  <c r="BL38" i="11"/>
  <c r="CQ23" i="8"/>
  <c r="CQ12" i="9"/>
  <c r="BM38" i="11"/>
  <c r="CQ11" i="9"/>
  <c r="BM42" i="40"/>
  <c r="BM45" i="40" s="1"/>
  <c r="CQ13" i="9"/>
  <c r="BM17" i="5"/>
  <c r="BM16" i="5"/>
  <c r="BN17" i="5"/>
  <c r="BN16" i="5"/>
  <c r="BP42" i="40"/>
  <c r="BP45" i="40" s="1"/>
  <c r="BL16" i="5"/>
  <c r="BL17" i="5"/>
  <c r="BP17" i="5"/>
  <c r="CT10" i="9"/>
  <c r="CQ10" i="9"/>
  <c r="BT17" i="5"/>
  <c r="BT16" i="5"/>
  <c r="CT18" i="8"/>
  <c r="BG17" i="5"/>
  <c r="BG16" i="5"/>
  <c r="BJ42" i="40"/>
  <c r="BJ45" i="40" s="1"/>
  <c r="BH42" i="40"/>
  <c r="BH45" i="40" s="1"/>
  <c r="BC42" i="40"/>
  <c r="BC45" i="40" s="1"/>
  <c r="BA42" i="40"/>
  <c r="BA45" i="40" s="1"/>
  <c r="BC17" i="5"/>
  <c r="BC16" i="5"/>
  <c r="CT11" i="9"/>
  <c r="CT12" i="9"/>
  <c r="BV42" i="40"/>
  <c r="BV45" i="40" s="1"/>
  <c r="BV17" i="5"/>
  <c r="BV16" i="5"/>
  <c r="BU17" i="5"/>
  <c r="BU16" i="5"/>
  <c r="CX17" i="8"/>
  <c r="CX18" i="8"/>
  <c r="BF16" i="5"/>
  <c r="BF17" i="5"/>
  <c r="BK17" i="5" s="1"/>
  <c r="CV19" i="8"/>
  <c r="CV18" i="8"/>
  <c r="CV22" i="8"/>
  <c r="CV17" i="8"/>
  <c r="BI17" i="5"/>
  <c r="BI16" i="5"/>
  <c r="AZ16" i="5"/>
  <c r="AZ17" i="5"/>
  <c r="AZ42" i="40"/>
  <c r="AZ45" i="40" s="1"/>
  <c r="BD42" i="40"/>
  <c r="BD45" i="40" s="1"/>
  <c r="CT13" i="9"/>
  <c r="BR42" i="40"/>
  <c r="BR45" i="40" s="1"/>
  <c r="BT42" i="40"/>
  <c r="BT45" i="40" s="1"/>
  <c r="BU42" i="40"/>
  <c r="BS42" i="40"/>
  <c r="BS45" i="40" s="1"/>
  <c r="BR16" i="5"/>
  <c r="BW16" i="5" s="1"/>
  <c r="BW37" i="5" s="1"/>
  <c r="BR17" i="5"/>
  <c r="BJ17" i="5"/>
  <c r="BJ16" i="5"/>
  <c r="BG42" i="40"/>
  <c r="BG45" i="40" s="1"/>
  <c r="BA16" i="5"/>
  <c r="BA17" i="5"/>
  <c r="BD16" i="5"/>
  <c r="BD17" i="5"/>
  <c r="CU18" i="8"/>
  <c r="CU25" i="8"/>
  <c r="BS16" i="5"/>
  <c r="BS17" i="5"/>
  <c r="BI42" i="40"/>
  <c r="BI45" i="40" s="1"/>
  <c r="BF42" i="40"/>
  <c r="BF45" i="40" s="1"/>
  <c r="BH17" i="5"/>
  <c r="BH16" i="5"/>
  <c r="BK16" i="5" s="1"/>
  <c r="BK37" i="5" s="1"/>
  <c r="BB42" i="40"/>
  <c r="BB45" i="40" s="1"/>
  <c r="BB16" i="5"/>
  <c r="BB17" i="5"/>
  <c r="BE17" i="5"/>
  <c r="M17" i="19"/>
  <c r="O8" i="53"/>
  <c r="N8" i="53"/>
  <c r="CA38" i="11"/>
  <c r="BL37" i="47"/>
  <c r="CB38" i="11"/>
  <c r="CW20" i="8"/>
  <c r="BN37" i="47"/>
  <c r="BO37" i="47"/>
  <c r="D21" i="53"/>
  <c r="BM37" i="47"/>
  <c r="CW17" i="8"/>
  <c r="BQ37" i="47"/>
  <c r="CD38" i="11"/>
  <c r="CC38" i="11"/>
  <c r="E21" i="53"/>
  <c r="CE38" i="11"/>
  <c r="BP37" i="47"/>
  <c r="CX20" i="8"/>
  <c r="BN38" i="11"/>
  <c r="CV21" i="8"/>
  <c r="CV20" i="8"/>
  <c r="BS37" i="47"/>
  <c r="BW38" i="11"/>
  <c r="BV38" i="11"/>
  <c r="CU20" i="8"/>
  <c r="CU16" i="8"/>
  <c r="BY38" i="11"/>
  <c r="BW17" i="5"/>
  <c r="BQ38" i="11"/>
  <c r="CU10" i="9"/>
  <c r="BT37" i="47"/>
  <c r="BP38" i="11"/>
  <c r="BR37" i="47"/>
  <c r="CU12" i="9"/>
  <c r="CU13" i="9"/>
  <c r="BV37" i="47"/>
  <c r="CK38" i="11"/>
  <c r="BS38" i="11"/>
  <c r="CJ38" i="11"/>
  <c r="BU38" i="11"/>
  <c r="BX38" i="11"/>
  <c r="CX16" i="8"/>
  <c r="BU37" i="47"/>
  <c r="CU11" i="9"/>
  <c r="CG38" i="11"/>
  <c r="CU21" i="8"/>
  <c r="BR38" i="11"/>
  <c r="BO38" i="11"/>
  <c r="CH38" i="11"/>
  <c r="CI38" i="11"/>
  <c r="CW12" i="9"/>
  <c r="CV11" i="9"/>
  <c r="CV10" i="9"/>
  <c r="CW13" i="9"/>
  <c r="CW11" i="9"/>
  <c r="CV13" i="9"/>
  <c r="CV12" i="9"/>
  <c r="CW10" i="9"/>
  <c r="BT38" i="11"/>
  <c r="BW37" i="47"/>
  <c r="CX10" i="9"/>
  <c r="CX12" i="9"/>
  <c r="CX11" i="9"/>
  <c r="CX13" i="9"/>
  <c r="AB26" i="17"/>
  <c r="AD25" i="17"/>
  <c r="AB25" i="17"/>
  <c r="AD26" i="17"/>
  <c r="J38" i="23"/>
  <c r="J36" i="23"/>
  <c r="J33" i="23"/>
  <c r="K38" i="23"/>
  <c r="K35" i="23"/>
  <c r="K33" i="23"/>
  <c r="I17" i="23"/>
  <c r="K39" i="23"/>
  <c r="I33" i="23"/>
  <c r="J29" i="23"/>
  <c r="H29" i="23"/>
  <c r="I37" i="15"/>
  <c r="BB38" i="15" s="1"/>
  <c r="AZ9" i="54"/>
  <c r="AE11" i="13"/>
  <c r="AI10" i="13"/>
  <c r="AD11" i="13"/>
  <c r="CN38" i="11"/>
  <c r="CB17" i="5"/>
  <c r="CA16" i="5"/>
  <c r="CA17" i="5"/>
  <c r="CS20" i="5"/>
  <c r="DF34" i="11"/>
  <c r="DG36" i="11"/>
  <c r="DG33" i="11"/>
  <c r="DG37" i="11"/>
  <c r="DG37" i="6"/>
  <c r="DG36" i="6"/>
  <c r="DG35" i="6"/>
  <c r="DG34" i="6"/>
  <c r="DG32" i="6"/>
  <c r="DG31" i="6"/>
  <c r="DG30" i="6"/>
  <c r="DG28" i="6"/>
  <c r="DG27" i="6"/>
  <c r="DF38" i="6"/>
  <c r="DF35" i="6"/>
  <c r="DF34" i="6"/>
  <c r="DF33" i="6"/>
  <c r="DF31" i="6"/>
  <c r="DF30" i="6"/>
  <c r="DF28" i="6"/>
  <c r="DM37" i="6"/>
  <c r="DM35" i="6"/>
  <c r="DM34" i="6"/>
  <c r="DM33" i="6"/>
  <c r="DM31" i="6"/>
  <c r="DM29" i="6"/>
  <c r="DM28" i="6"/>
  <c r="DM26" i="6"/>
  <c r="DM34" i="11"/>
  <c r="DM33" i="11"/>
  <c r="DM30" i="11"/>
  <c r="DM29" i="11"/>
  <c r="DL38" i="6"/>
  <c r="DL35" i="6"/>
  <c r="DL32" i="6"/>
  <c r="DL31" i="6"/>
  <c r="DL37" i="11"/>
  <c r="DL36" i="11"/>
  <c r="DL34" i="11"/>
  <c r="DL33" i="11"/>
  <c r="DL32" i="11"/>
  <c r="DL30" i="11"/>
  <c r="DI38" i="6"/>
  <c r="DI37" i="6"/>
  <c r="DI36" i="6"/>
  <c r="DI35" i="6"/>
  <c r="DI32" i="6"/>
  <c r="DI31" i="6"/>
  <c r="DI29" i="6"/>
  <c r="DI37" i="11"/>
  <c r="DI36" i="11"/>
  <c r="DI35" i="11"/>
  <c r="DI31" i="11"/>
  <c r="DI30" i="11"/>
  <c r="DI29" i="11"/>
  <c r="DF31" i="11"/>
  <c r="DJ37" i="6"/>
  <c r="DJ35" i="6"/>
  <c r="DJ32" i="6"/>
  <c r="DJ31" i="6"/>
  <c r="DJ30" i="6"/>
  <c r="DJ29" i="6"/>
  <c r="DJ28" i="6"/>
  <c r="DJ37" i="11"/>
  <c r="DJ36" i="11"/>
  <c r="DJ35" i="11"/>
  <c r="DJ34" i="11"/>
  <c r="DJ33" i="11"/>
  <c r="DJ32" i="11"/>
  <c r="DJ31" i="11"/>
  <c r="DJ30" i="11"/>
  <c r="DJ29" i="11"/>
  <c r="DK37" i="6"/>
  <c r="DK36" i="6"/>
  <c r="DK35" i="6"/>
  <c r="DK34" i="6"/>
  <c r="DK33" i="6"/>
  <c r="DK32" i="6"/>
  <c r="DK31" i="6"/>
  <c r="DK30" i="6"/>
  <c r="DK28" i="6"/>
  <c r="DK26" i="6"/>
  <c r="DK37" i="11"/>
  <c r="DK36" i="11"/>
  <c r="DK34" i="11"/>
  <c r="DK32" i="11"/>
  <c r="DK31" i="11"/>
  <c r="DK29" i="11"/>
  <c r="CQ38" i="9"/>
  <c r="CS21" i="5"/>
  <c r="CS25" i="8"/>
  <c r="U16" i="5"/>
  <c r="CS17" i="8"/>
  <c r="U17" i="5"/>
  <c r="AJ38" i="11"/>
  <c r="E11" i="20"/>
  <c r="E9" i="20"/>
  <c r="J20" i="57"/>
  <c r="F20" i="57"/>
  <c r="I18" i="57"/>
  <c r="E18" i="57"/>
  <c r="H17" i="57"/>
  <c r="D17" i="57"/>
  <c r="I20" i="57"/>
  <c r="E20" i="57"/>
  <c r="H18" i="57"/>
  <c r="D18" i="57"/>
  <c r="G17" i="57"/>
  <c r="D16" i="57"/>
  <c r="H20" i="57"/>
  <c r="D20" i="57"/>
  <c r="G18" i="57"/>
  <c r="J17" i="57"/>
  <c r="F17" i="57"/>
  <c r="G20" i="57"/>
  <c r="J18" i="57"/>
  <c r="F18" i="57"/>
  <c r="I17" i="57"/>
  <c r="E17" i="57"/>
  <c r="N8" i="19"/>
  <c r="N9" i="19"/>
  <c r="N10" i="19"/>
  <c r="AH45" i="54"/>
  <c r="K10" i="19"/>
  <c r="T8" i="19"/>
  <c r="I10" i="19"/>
  <c r="J10" i="19"/>
  <c r="S10" i="13"/>
  <c r="AN10" i="13"/>
  <c r="AK10" i="13"/>
  <c r="AE10" i="13"/>
  <c r="AG10" i="13"/>
  <c r="AG11" i="13"/>
  <c r="AI11" i="13"/>
  <c r="AC10" i="13"/>
  <c r="AF10" i="13"/>
  <c r="AF11" i="13"/>
  <c r="AH10" i="13"/>
  <c r="AB10" i="13"/>
  <c r="BC10" i="13" s="1"/>
  <c r="AC11" i="13"/>
  <c r="AH11" i="13"/>
  <c r="BI11" i="13" s="1"/>
  <c r="AU11" i="13"/>
  <c r="AD10" i="13"/>
  <c r="AL11" i="13"/>
  <c r="H25" i="29"/>
  <c r="U11" i="13"/>
  <c r="T10" i="13"/>
  <c r="T11" i="13"/>
  <c r="V11" i="13"/>
  <c r="BF11" i="13" s="1"/>
  <c r="AM11" i="13"/>
  <c r="AO11" i="13"/>
  <c r="AM10" i="13"/>
  <c r="AL10" i="13"/>
  <c r="AO10" i="13"/>
  <c r="AN11" i="13"/>
  <c r="U10" i="13"/>
  <c r="AK11" i="13"/>
  <c r="S11" i="13"/>
  <c r="G41" i="23"/>
  <c r="BB37" i="54"/>
  <c r="T28" i="23"/>
  <c r="T26" i="23"/>
  <c r="K37" i="13"/>
  <c r="E41" i="23"/>
  <c r="F41" i="23"/>
  <c r="J37" i="13"/>
  <c r="BC38" i="13" s="1"/>
  <c r="N37" i="52"/>
  <c r="N42" i="52" s="1"/>
  <c r="R36" i="52"/>
  <c r="R41" i="52" s="1"/>
  <c r="CC17" i="5"/>
  <c r="CR38" i="11"/>
  <c r="CC16" i="5"/>
  <c r="V16" i="5"/>
  <c r="CT20" i="5"/>
  <c r="CT21" i="5"/>
  <c r="V10" i="13"/>
  <c r="CT21" i="8"/>
  <c r="CT19" i="5"/>
  <c r="V17" i="5"/>
  <c r="CT23" i="8"/>
  <c r="CT19" i="8"/>
  <c r="CT22" i="8"/>
  <c r="CT17" i="8"/>
  <c r="CT24" i="8"/>
  <c r="O7" i="53"/>
  <c r="BC37" i="54"/>
  <c r="CD16" i="5"/>
  <c r="CD17" i="5"/>
  <c r="AP11" i="13"/>
  <c r="AP10" i="13"/>
  <c r="CU38" i="4"/>
  <c r="W17" i="5"/>
  <c r="CU17" i="5" s="1"/>
  <c r="CU19" i="5"/>
  <c r="CU20" i="5"/>
  <c r="CU22" i="8"/>
  <c r="CU23" i="8"/>
  <c r="CU17" i="8"/>
  <c r="CU24" i="8"/>
  <c r="CU21" i="5"/>
  <c r="W16" i="5"/>
  <c r="CU19" i="8"/>
  <c r="W11" i="13"/>
  <c r="W10" i="13"/>
  <c r="Z9" i="17"/>
  <c r="CS38" i="11"/>
  <c r="CE16" i="5"/>
  <c r="CE37" i="47"/>
  <c r="CE17" i="5"/>
  <c r="CT38" i="11"/>
  <c r="AQ10" i="13"/>
  <c r="AQ11" i="13"/>
  <c r="X16" i="5"/>
  <c r="CV16" i="8"/>
  <c r="AM38" i="11"/>
  <c r="CV19" i="5"/>
  <c r="CV23" i="8"/>
  <c r="CV25" i="8"/>
  <c r="X17" i="5"/>
  <c r="CV21" i="5"/>
  <c r="CV20" i="5"/>
  <c r="X11" i="13"/>
  <c r="BH11" i="13" s="1"/>
  <c r="X10" i="13"/>
  <c r="CU38" i="40"/>
  <c r="CX22" i="8"/>
  <c r="CF16" i="5"/>
  <c r="CU38" i="11"/>
  <c r="CF37" i="47"/>
  <c r="CF17" i="5"/>
  <c r="AR10" i="13"/>
  <c r="AR11" i="13"/>
  <c r="CV38" i="40"/>
  <c r="CV38" i="9"/>
  <c r="CW19" i="8"/>
  <c r="Y17" i="5"/>
  <c r="CW22" i="8"/>
  <c r="CW20" i="5"/>
  <c r="CW18" i="8"/>
  <c r="CW23" i="8"/>
  <c r="CW21" i="5"/>
  <c r="CW19" i="5"/>
  <c r="CW24" i="8"/>
  <c r="Y16" i="5"/>
  <c r="CW16" i="8"/>
  <c r="CW25" i="8"/>
  <c r="Y10" i="13"/>
  <c r="Y11" i="13"/>
  <c r="M37" i="23"/>
  <c r="L37" i="23"/>
  <c r="AC29" i="17"/>
  <c r="Z16" i="5"/>
  <c r="Z17" i="5"/>
  <c r="CX17" i="5" s="1"/>
  <c r="CX21" i="5"/>
  <c r="CX21" i="8"/>
  <c r="CX20" i="5"/>
  <c r="CX19" i="5"/>
  <c r="CX19" i="8"/>
  <c r="CX24" i="8"/>
  <c r="CX38" i="40"/>
  <c r="Z10" i="13"/>
  <c r="Z11" i="13"/>
  <c r="BJ11" i="13" s="1"/>
  <c r="Z37" i="47"/>
  <c r="AD30" i="17"/>
  <c r="AB29" i="17"/>
  <c r="CW38" i="9"/>
  <c r="CX37" i="47"/>
  <c r="AD19" i="17"/>
  <c r="O7" i="20"/>
  <c r="P7" i="20" s="1"/>
  <c r="G2" i="59"/>
  <c r="F50" i="59" s="1"/>
  <c r="K50" i="59" s="1"/>
  <c r="F2" i="58"/>
  <c r="D19" i="58" s="1"/>
  <c r="AA8" i="19"/>
  <c r="Y8" i="19"/>
  <c r="V8" i="19"/>
  <c r="N3" i="23"/>
  <c r="I3" i="26"/>
  <c r="BL2" i="54"/>
  <c r="P17" i="28"/>
  <c r="Q15" i="28"/>
  <c r="O3" i="23"/>
  <c r="R15" i="28"/>
  <c r="N40" i="23"/>
  <c r="O15" i="28"/>
  <c r="M16" i="28"/>
  <c r="S15" i="28"/>
  <c r="J22" i="28"/>
  <c r="L16" i="28"/>
  <c r="T15" i="28"/>
  <c r="U15" i="28"/>
  <c r="K16" i="28"/>
  <c r="BD37" i="54"/>
  <c r="J16" i="28"/>
  <c r="I16" i="28"/>
  <c r="S8" i="19"/>
  <c r="H16" i="28"/>
  <c r="G16" i="28"/>
  <c r="F16" i="28"/>
  <c r="N36" i="23"/>
  <c r="E16" i="28"/>
  <c r="D16" i="28"/>
  <c r="N39" i="23"/>
  <c r="F41" i="20"/>
  <c r="E41" i="20"/>
  <c r="E42" i="20" s="1"/>
  <c r="E43" i="20" s="1"/>
  <c r="F12" i="20"/>
  <c r="G40" i="26"/>
  <c r="E12" i="20"/>
  <c r="F40" i="26" s="1"/>
  <c r="F41" i="26" s="1"/>
  <c r="E39" i="20"/>
  <c r="F39" i="20"/>
  <c r="E35" i="20"/>
  <c r="M39" i="23"/>
  <c r="L39" i="23"/>
  <c r="M40" i="23"/>
  <c r="L40" i="23"/>
  <c r="M38" i="23"/>
  <c r="L38" i="23"/>
  <c r="M36" i="23"/>
  <c r="M35" i="23"/>
  <c r="L35" i="23"/>
  <c r="L17" i="23"/>
  <c r="M29" i="23"/>
  <c r="M34" i="23"/>
  <c r="U38" i="52"/>
  <c r="O38" i="52"/>
  <c r="O43" i="52" s="1"/>
  <c r="R38" i="52"/>
  <c r="Q38" i="52"/>
  <c r="U43" i="52"/>
  <c r="N38" i="52"/>
  <c r="N43" i="52"/>
  <c r="Q43" i="52"/>
  <c r="D38" i="52"/>
  <c r="Z12" i="17"/>
  <c r="I38" i="52"/>
  <c r="F38" i="52"/>
  <c r="E38" i="52"/>
  <c r="K38" i="52"/>
  <c r="J38" i="52"/>
  <c r="Q29" i="23"/>
  <c r="I16" i="20"/>
  <c r="P29" i="23"/>
  <c r="H16" i="20" s="1"/>
  <c r="N29" i="23"/>
  <c r="O29" i="23"/>
  <c r="K31" i="60" s="1"/>
  <c r="G16" i="20"/>
  <c r="T21" i="23"/>
  <c r="S29" i="23"/>
  <c r="O31" i="60" s="1"/>
  <c r="N35" i="23"/>
  <c r="R29" i="23"/>
  <c r="J16" i="20" s="1"/>
  <c r="T22" i="23"/>
  <c r="N34" i="23"/>
  <c r="D21" i="58"/>
  <c r="F21" i="58"/>
  <c r="J21" i="58"/>
  <c r="E21" i="58"/>
  <c r="H21" i="58"/>
  <c r="N17" i="23"/>
  <c r="N33" i="23"/>
  <c r="BC17" i="54"/>
  <c r="BE17" i="54"/>
  <c r="BL17" i="54" s="1"/>
  <c r="BG17" i="54"/>
  <c r="BN17" i="54" s="1"/>
  <c r="BI17" i="54"/>
  <c r="BP17" i="54" s="1"/>
  <c r="BB17" i="54"/>
  <c r="BD17" i="54"/>
  <c r="BH17" i="54"/>
  <c r="I21" i="59"/>
  <c r="H21" i="59"/>
  <c r="G21" i="59"/>
  <c r="J11" i="41" s="1"/>
  <c r="J21" i="59"/>
  <c r="F21" i="59"/>
  <c r="I11" i="41" s="1"/>
  <c r="I25" i="41" s="1"/>
  <c r="BM24" i="52"/>
  <c r="BI31" i="54"/>
  <c r="BP31" i="54" s="1"/>
  <c r="CP38" i="11"/>
  <c r="V38" i="11"/>
  <c r="K6" i="56"/>
  <c r="K7" i="56"/>
  <c r="K8" i="56"/>
  <c r="K10" i="56" s="1"/>
  <c r="AB30" i="17"/>
  <c r="BP24" i="52"/>
  <c r="P39" i="23"/>
  <c r="X12" i="53"/>
  <c r="D20" i="53"/>
  <c r="AU19" i="54"/>
  <c r="BE19" i="54" s="1"/>
  <c r="BL19" i="54" s="1"/>
  <c r="D9" i="53"/>
  <c r="D35" i="53" s="1"/>
  <c r="AV20" i="54"/>
  <c r="BF20" i="54" s="1"/>
  <c r="BM20" i="54" s="1"/>
  <c r="D7" i="53"/>
  <c r="E8" i="53"/>
  <c r="E7" i="53"/>
  <c r="E20" i="53"/>
  <c r="D8" i="53"/>
  <c r="E22" i="53"/>
  <c r="Y22" i="53" s="1"/>
  <c r="AV11" i="54"/>
  <c r="BF11" i="54" s="1"/>
  <c r="BM11" i="54" s="1"/>
  <c r="O8" i="19"/>
  <c r="O9" i="19"/>
  <c r="DA21" i="5"/>
  <c r="DA20" i="5"/>
  <c r="AB16" i="17"/>
  <c r="CX38" i="47"/>
  <c r="AO38" i="11"/>
  <c r="Y37" i="47"/>
  <c r="AN38" i="11"/>
  <c r="CW38" i="40"/>
  <c r="DA19" i="5"/>
  <c r="Z30" i="17"/>
  <c r="CT38" i="40"/>
  <c r="AK38" i="11"/>
  <c r="AL38" i="11"/>
  <c r="AC25" i="17"/>
  <c r="CQ38" i="11"/>
  <c r="CT16" i="8"/>
  <c r="CQ16" i="8"/>
  <c r="BI38" i="11"/>
  <c r="AG42" i="40"/>
  <c r="CQ42" i="40" s="1"/>
  <c r="D25" i="53" s="1"/>
  <c r="O25" i="53"/>
  <c r="AS38" i="11"/>
  <c r="CR23" i="8"/>
  <c r="AQ38" i="11"/>
  <c r="CQ24" i="8"/>
  <c r="CR17" i="8"/>
  <c r="AZ38" i="11"/>
  <c r="AU38" i="11"/>
  <c r="BA38" i="11"/>
  <c r="CR25" i="8"/>
  <c r="AW38" i="11"/>
  <c r="AT38" i="11"/>
  <c r="CR21" i="8"/>
  <c r="CR22" i="8"/>
  <c r="AH38" i="11"/>
  <c r="AX38" i="11"/>
  <c r="BE38" i="11"/>
  <c r="CR18" i="8"/>
  <c r="AY38" i="11"/>
  <c r="BD38" i="11"/>
  <c r="BG38" i="11"/>
  <c r="BC38" i="11"/>
  <c r="CY38" i="11"/>
  <c r="AS42" i="40"/>
  <c r="AS45" i="40" s="1"/>
  <c r="AX11" i="54"/>
  <c r="CS19" i="5"/>
  <c r="CS18" i="8"/>
  <c r="CS20" i="8"/>
  <c r="CS24" i="8"/>
  <c r="CS22" i="8"/>
  <c r="CS23" i="8"/>
  <c r="CS21" i="8"/>
  <c r="AY12" i="54"/>
  <c r="BI12" i="54" s="1"/>
  <c r="CJ16" i="5"/>
  <c r="BE11" i="13"/>
  <c r="BG10" i="13"/>
  <c r="AB28" i="17"/>
  <c r="BI10" i="13"/>
  <c r="BQ24" i="52"/>
  <c r="Q39" i="23"/>
  <c r="BG11" i="13"/>
  <c r="BD11" i="13"/>
  <c r="BR24" i="52"/>
  <c r="R39" i="23"/>
  <c r="Z40" i="17"/>
  <c r="BE10" i="13"/>
  <c r="N7" i="53"/>
  <c r="CQ38" i="40"/>
  <c r="CR38" i="40"/>
  <c r="L47" i="40"/>
  <c r="L49" i="40" s="1"/>
  <c r="N24" i="53"/>
  <c r="N25" i="53"/>
  <c r="O24" i="53"/>
  <c r="Y24" i="53" s="1"/>
  <c r="J47" i="40"/>
  <c r="AI38" i="11"/>
  <c r="AR38" i="11"/>
  <c r="AY8" i="54"/>
  <c r="BI8" i="54" s="1"/>
  <c r="BP8" i="54" s="1"/>
  <c r="F36" i="53"/>
  <c r="E10" i="53"/>
  <c r="L33" i="23"/>
  <c r="M33" i="23"/>
  <c r="AC12" i="17"/>
  <c r="P38" i="52"/>
  <c r="P43" i="52"/>
  <c r="L29" i="23"/>
  <c r="L34" i="23"/>
  <c r="AD24" i="17"/>
  <c r="BM25" i="52"/>
  <c r="E43" i="53"/>
  <c r="AD12" i="17"/>
  <c r="E43" i="52"/>
  <c r="G38" i="52"/>
  <c r="T38" i="52"/>
  <c r="T43" i="52" s="1"/>
  <c r="D18" i="58"/>
  <c r="D20" i="58"/>
  <c r="AZ37" i="47"/>
  <c r="S37" i="52"/>
  <c r="S42" i="52" s="1"/>
  <c r="BD37" i="47"/>
  <c r="R37" i="52"/>
  <c r="R42" i="52" s="1"/>
  <c r="O37" i="52"/>
  <c r="O42" i="52" s="1"/>
  <c r="Q36" i="52"/>
  <c r="Q41" i="52" s="1"/>
  <c r="S36" i="52"/>
  <c r="S41" i="52" s="1"/>
  <c r="Q37" i="52"/>
  <c r="BL24" i="52"/>
  <c r="CD37" i="47"/>
  <c r="N39" i="52"/>
  <c r="N44" i="52" s="1"/>
  <c r="AT11" i="13"/>
  <c r="AB11" i="13"/>
  <c r="BC11" i="13" s="1"/>
  <c r="P37" i="52"/>
  <c r="P42" i="52" s="1"/>
  <c r="J37" i="15"/>
  <c r="BB37" i="47"/>
  <c r="BC37" i="47"/>
  <c r="T23" i="23"/>
  <c r="T24" i="23"/>
  <c r="T29" i="23" s="1"/>
  <c r="T25" i="23"/>
  <c r="T27" i="23"/>
  <c r="Y16" i="53"/>
  <c r="Y17" i="53"/>
  <c r="X16" i="53"/>
  <c r="J43" i="52"/>
  <c r="K43" i="52"/>
  <c r="J41" i="23"/>
  <c r="I41" i="23"/>
  <c r="K16" i="20"/>
  <c r="H38" i="52"/>
  <c r="S38" i="52"/>
  <c r="V38" i="52" s="1"/>
  <c r="V43" i="52" s="1"/>
  <c r="M17" i="23"/>
  <c r="F35" i="20"/>
  <c r="BN24" i="52"/>
  <c r="L37" i="13"/>
  <c r="P39" i="52"/>
  <c r="P44" i="52" s="1"/>
  <c r="K29" i="23"/>
  <c r="K41" i="23"/>
  <c r="H33" i="23"/>
  <c r="AA12" i="17"/>
  <c r="D43" i="52"/>
  <c r="L41" i="23"/>
  <c r="J17" i="23"/>
  <c r="H35" i="23"/>
  <c r="N41" i="23"/>
  <c r="F16" i="20"/>
  <c r="AB12" i="17"/>
  <c r="E16" i="20"/>
  <c r="U39" i="52"/>
  <c r="U44" i="52" s="1"/>
  <c r="M41" i="23"/>
  <c r="E18" i="28"/>
  <c r="BF38" i="11"/>
  <c r="E19" i="59"/>
  <c r="E40" i="59"/>
  <c r="D40" i="59"/>
  <c r="D31" i="59"/>
  <c r="F31" i="59"/>
  <c r="E31" i="59"/>
  <c r="O10" i="60"/>
  <c r="G10" i="59"/>
  <c r="G12" i="59" s="1"/>
  <c r="H10" i="59"/>
  <c r="H12" i="59" s="1"/>
  <c r="H20" i="59"/>
  <c r="H22" i="59" s="1"/>
  <c r="E39" i="59"/>
  <c r="D39" i="59"/>
  <c r="N10" i="60"/>
  <c r="M10" i="60"/>
  <c r="K10" i="60"/>
  <c r="L10" i="60"/>
  <c r="N29" i="53"/>
  <c r="BG37" i="47"/>
  <c r="BH37" i="47"/>
  <c r="F10" i="56"/>
  <c r="AA30" i="17"/>
  <c r="AW19" i="54"/>
  <c r="BG19" i="54" s="1"/>
  <c r="AV19" i="54"/>
  <c r="M27" i="19"/>
  <c r="M33" i="19"/>
  <c r="N27" i="19"/>
  <c r="N33" i="19"/>
  <c r="I27" i="19"/>
  <c r="K27" i="19"/>
  <c r="K33" i="19"/>
  <c r="O27" i="19"/>
  <c r="O33" i="19"/>
  <c r="L27" i="19"/>
  <c r="L33" i="19"/>
  <c r="J27" i="19"/>
  <c r="J33" i="19"/>
  <c r="F14" i="20"/>
  <c r="H27" i="19"/>
  <c r="O26" i="19"/>
  <c r="M26" i="19"/>
  <c r="I26" i="19"/>
  <c r="J26" i="19"/>
  <c r="N26" i="19"/>
  <c r="H26" i="19"/>
  <c r="L26" i="19"/>
  <c r="K26" i="19"/>
  <c r="AB23" i="17"/>
  <c r="DM40" i="6"/>
  <c r="AD17" i="17"/>
  <c r="DK40" i="6"/>
  <c r="AA17" i="17"/>
  <c r="DJ40" i="6"/>
  <c r="CR38" i="9"/>
  <c r="Z25" i="17"/>
  <c r="BE9" i="54"/>
  <c r="BL9" i="54" s="1"/>
  <c r="AD9" i="17"/>
  <c r="BC38" i="54"/>
  <c r="O10" i="53"/>
  <c r="AA23" i="17"/>
  <c r="AV8" i="54"/>
  <c r="AB9" i="17"/>
  <c r="DK39" i="7"/>
  <c r="AB18" i="17"/>
  <c r="DL40" i="6"/>
  <c r="AC17" i="17"/>
  <c r="K36" i="52"/>
  <c r="K41" i="52" s="1"/>
  <c r="CX38" i="4"/>
  <c r="E10" i="56"/>
  <c r="AA25" i="17"/>
  <c r="CT38" i="9"/>
  <c r="Z18" i="17"/>
  <c r="DI39" i="7"/>
  <c r="AA18" i="17"/>
  <c r="DJ39" i="7"/>
  <c r="CW37" i="47"/>
  <c r="AB19" i="17"/>
  <c r="BI32" i="54"/>
  <c r="BP32" i="54" s="1"/>
  <c r="CW38" i="4"/>
  <c r="CS42" i="40"/>
  <c r="CS45" i="40" s="1"/>
  <c r="AC26" i="17"/>
  <c r="AA9" i="17"/>
  <c r="AA19" i="17"/>
  <c r="AC9" i="17"/>
  <c r="BH32" i="54"/>
  <c r="BO32" i="54" s="1"/>
  <c r="J36" i="52"/>
  <c r="J41" i="52" s="1"/>
  <c r="J16" i="57"/>
  <c r="AA40" i="17"/>
  <c r="BC38" i="55"/>
  <c r="BE38" i="55"/>
  <c r="BH38" i="55"/>
  <c r="BR23" i="52"/>
  <c r="BP23" i="52"/>
  <c r="P38" i="23"/>
  <c r="AB37" i="17"/>
  <c r="BG38" i="15"/>
  <c r="AA37" i="17"/>
  <c r="BD38" i="13"/>
  <c r="AD40" i="17"/>
  <c r="K43" i="26"/>
  <c r="BG38" i="55"/>
  <c r="L43" i="26"/>
  <c r="BS23" i="52"/>
  <c r="S38" i="23"/>
  <c r="J10" i="56"/>
  <c r="I43" i="26"/>
  <c r="BH38" i="15"/>
  <c r="E16" i="57"/>
  <c r="BI38" i="55"/>
  <c r="BF38" i="55"/>
  <c r="AS35" i="54"/>
  <c r="H10" i="56"/>
  <c r="BD40" i="54"/>
  <c r="BD39" i="54" s="1"/>
  <c r="BJ38" i="55"/>
  <c r="CS38" i="4"/>
  <c r="N9" i="53"/>
  <c r="N10" i="53"/>
  <c r="CQ38" i="4"/>
  <c r="DH39" i="7"/>
  <c r="CS38" i="9"/>
  <c r="E36" i="53"/>
  <c r="H36" i="52"/>
  <c r="H41" i="52" s="1"/>
  <c r="H43" i="52"/>
  <c r="O39" i="52"/>
  <c r="O44" i="52" s="1"/>
  <c r="BJ37" i="47"/>
  <c r="AU37" i="47"/>
  <c r="CM37" i="47"/>
  <c r="BF37" i="47"/>
  <c r="AX37" i="47"/>
  <c r="AT37" i="47"/>
  <c r="W37" i="47"/>
  <c r="BD32" i="54"/>
  <c r="BI37" i="47"/>
  <c r="CK37" i="47"/>
  <c r="CB37" i="47"/>
  <c r="AW37" i="47"/>
  <c r="CL37" i="47"/>
  <c r="I43" i="52"/>
  <c r="BA37" i="47"/>
  <c r="X37" i="47"/>
  <c r="V37" i="47"/>
  <c r="F16" i="57"/>
  <c r="AV37" i="47"/>
  <c r="BE37" i="47"/>
  <c r="CC37" i="47"/>
  <c r="BC32" i="54"/>
  <c r="S43" i="52"/>
  <c r="L38" i="52"/>
  <c r="L43" i="52" s="1"/>
  <c r="F43" i="52"/>
  <c r="D17" i="58"/>
  <c r="D11" i="58"/>
  <c r="AZ8" i="52"/>
  <c r="R43" i="52"/>
  <c r="H41" i="23"/>
  <c r="G43" i="52"/>
  <c r="T39" i="52"/>
  <c r="T44" i="52" s="1"/>
  <c r="R38" i="23"/>
  <c r="BD38" i="15"/>
  <c r="BD36" i="54"/>
  <c r="R39" i="52"/>
  <c r="R44" i="52" s="1"/>
  <c r="Q39" i="52"/>
  <c r="Q44" i="52" s="1"/>
  <c r="I16" i="57"/>
  <c r="S39" i="52"/>
  <c r="S44" i="52" s="1"/>
  <c r="D18" i="28"/>
  <c r="G31" i="59"/>
  <c r="G32" i="59"/>
  <c r="E41" i="59"/>
  <c r="D10" i="59"/>
  <c r="D41" i="59"/>
  <c r="D19" i="59"/>
  <c r="F10" i="59"/>
  <c r="E18" i="59"/>
  <c r="E20" i="59"/>
  <c r="E10" i="59"/>
  <c r="D18" i="59"/>
  <c r="D20" i="59"/>
  <c r="D42" i="59"/>
  <c r="BN25" i="52"/>
  <c r="BE31" i="54"/>
  <c r="BL31" i="54" s="1"/>
  <c r="K9" i="56"/>
  <c r="AC30" i="17"/>
  <c r="AC28" i="17"/>
  <c r="BF9" i="54"/>
  <c r="BM9" i="54" s="1"/>
  <c r="BC9" i="54"/>
  <c r="H28" i="19"/>
  <c r="M32" i="19"/>
  <c r="M28" i="19"/>
  <c r="N32" i="19"/>
  <c r="N28" i="19"/>
  <c r="O32" i="19"/>
  <c r="O28" i="19"/>
  <c r="K32" i="19"/>
  <c r="K28" i="19"/>
  <c r="J28" i="19"/>
  <c r="J32" i="19"/>
  <c r="L14" i="20"/>
  <c r="L28" i="19"/>
  <c r="L32" i="19"/>
  <c r="I28" i="19"/>
  <c r="I32" i="19"/>
  <c r="I33" i="19"/>
  <c r="E14" i="20"/>
  <c r="Z17" i="17"/>
  <c r="DI40" i="6"/>
  <c r="DH40" i="6"/>
  <c r="DF40" i="6"/>
  <c r="DM39" i="7"/>
  <c r="AD18" i="17"/>
  <c r="Z23" i="17"/>
  <c r="AA8" i="17"/>
  <c r="AY19" i="54"/>
  <c r="AC19" i="17"/>
  <c r="CW38" i="47"/>
  <c r="AC24" i="17"/>
  <c r="AY21" i="54"/>
  <c r="Z26" i="17"/>
  <c r="DL39" i="7"/>
  <c r="AC18" i="17"/>
  <c r="AA26" i="17"/>
  <c r="DG40" i="6"/>
  <c r="CX38" i="9"/>
  <c r="CU38" i="9"/>
  <c r="DF39" i="7"/>
  <c r="AC8" i="17"/>
  <c r="Z29" i="17"/>
  <c r="Z28" i="17"/>
  <c r="AB17" i="17"/>
  <c r="AB15" i="17"/>
  <c r="G10" i="56"/>
  <c r="AZ22" i="52"/>
  <c r="AZ26" i="52" s="1"/>
  <c r="BS25" i="52"/>
  <c r="S40" i="23"/>
  <c r="AC38" i="17"/>
  <c r="J43" i="26"/>
  <c r="I10" i="56"/>
  <c r="AC37" i="17"/>
  <c r="H16" i="57"/>
  <c r="AB40" i="17"/>
  <c r="AC40" i="17"/>
  <c r="F43" i="26"/>
  <c r="G43" i="26"/>
  <c r="BF38" i="15"/>
  <c r="Z37" i="17"/>
  <c r="AD37" i="17"/>
  <c r="H43" i="26"/>
  <c r="AR25" i="54"/>
  <c r="BB25" i="54" s="1"/>
  <c r="DG39" i="7"/>
  <c r="CS38" i="40"/>
  <c r="D43" i="53"/>
  <c r="CT37" i="47"/>
  <c r="CT38" i="47" s="1"/>
  <c r="G36" i="52"/>
  <c r="G41" i="52" s="1"/>
  <c r="E42" i="53"/>
  <c r="BB36" i="54"/>
  <c r="D42" i="53"/>
  <c r="BL23" i="52"/>
  <c r="BK37" i="47"/>
  <c r="BF31" i="54"/>
  <c r="BM31" i="54" s="1"/>
  <c r="F42" i="53"/>
  <c r="BN23" i="52"/>
  <c r="O29" i="53"/>
  <c r="Y29" i="53" s="1"/>
  <c r="BG32" i="54"/>
  <c r="BN32" i="54" s="1"/>
  <c r="BE32" i="54"/>
  <c r="BL32" i="54" s="1"/>
  <c r="AY37" i="47"/>
  <c r="BG38" i="54"/>
  <c r="BN38" i="54" s="1"/>
  <c r="AS34" i="54"/>
  <c r="BC34" i="54" s="1"/>
  <c r="X17" i="53"/>
  <c r="T29" i="52"/>
  <c r="BC40" i="52"/>
  <c r="BJ38" i="13"/>
  <c r="G16" i="57"/>
  <c r="S29" i="52"/>
  <c r="U29" i="52"/>
  <c r="R29" i="52"/>
  <c r="BS24" i="52"/>
  <c r="L38" i="26"/>
  <c r="BH38" i="13"/>
  <c r="D12" i="59"/>
  <c r="D32" i="59"/>
  <c r="E42" i="59"/>
  <c r="E12" i="59"/>
  <c r="E32" i="59"/>
  <c r="F32" i="59"/>
  <c r="G38" i="26"/>
  <c r="G41" i="26"/>
  <c r="E13" i="20"/>
  <c r="I34" i="19"/>
  <c r="D12" i="58"/>
  <c r="K34" i="19"/>
  <c r="N34" i="19"/>
  <c r="J34" i="19"/>
  <c r="F13" i="20"/>
  <c r="M34" i="19"/>
  <c r="L34" i="19"/>
  <c r="O34" i="19"/>
  <c r="AD8" i="17"/>
  <c r="AD23" i="17"/>
  <c r="AA7" i="17"/>
  <c r="CT38" i="4"/>
  <c r="CV38" i="4"/>
  <c r="AC7" i="17"/>
  <c r="AC15" i="17"/>
  <c r="AC16" i="17"/>
  <c r="AA28" i="17"/>
  <c r="AA29" i="17"/>
  <c r="AD29" i="17"/>
  <c r="AD28" i="17"/>
  <c r="AD15" i="17"/>
  <c r="AD16" i="17"/>
  <c r="AR21" i="54"/>
  <c r="AC23" i="17"/>
  <c r="Z19" i="17"/>
  <c r="AB38" i="17"/>
  <c r="BC40" i="54"/>
  <c r="BC39" i="54" s="1"/>
  <c r="BB40" i="54"/>
  <c r="BB39" i="54" s="1"/>
  <c r="K38" i="26"/>
  <c r="BR25" i="52"/>
  <c r="R40" i="23"/>
  <c r="AP35" i="54"/>
  <c r="AA38" i="17"/>
  <c r="BD9" i="54"/>
  <c r="CR38" i="4"/>
  <c r="BB9" i="54"/>
  <c r="AI49" i="54"/>
  <c r="J25" i="41"/>
  <c r="I38" i="26"/>
  <c r="BP25" i="52"/>
  <c r="BB32" i="54"/>
  <c r="CU37" i="47"/>
  <c r="CU38" i="47" s="1"/>
  <c r="I36" i="52"/>
  <c r="I41" i="52" s="1"/>
  <c r="CV37" i="47"/>
  <c r="CV38" i="47" s="1"/>
  <c r="BB31" i="54"/>
  <c r="BO23" i="52"/>
  <c r="J38" i="26"/>
  <c r="BQ25" i="52"/>
  <c r="BD31" i="54"/>
  <c r="BO25" i="52"/>
  <c r="H38" i="26"/>
  <c r="M38" i="26" s="1"/>
  <c r="AZ25" i="52"/>
  <c r="BC31" i="54"/>
  <c r="AP30" i="54"/>
  <c r="BC38" i="15"/>
  <c r="AR33" i="52"/>
  <c r="BE38" i="13"/>
  <c r="BI38" i="15"/>
  <c r="S39" i="23"/>
  <c r="BC22" i="52"/>
  <c r="BC26" i="52" s="1"/>
  <c r="BC34" i="52" s="1"/>
  <c r="BM22" i="52"/>
  <c r="BM26" i="52" s="1"/>
  <c r="BM34" i="52" s="1"/>
  <c r="BC21" i="52"/>
  <c r="BF38" i="13"/>
  <c r="BE38" i="15"/>
  <c r="AD36" i="17"/>
  <c r="BG38" i="13"/>
  <c r="Q29" i="52"/>
  <c r="G41" i="59"/>
  <c r="H31" i="59"/>
  <c r="BD26" i="54"/>
  <c r="O13" i="20"/>
  <c r="L13" i="20"/>
  <c r="AB8" i="17"/>
  <c r="AZ7" i="52"/>
  <c r="Z16" i="17"/>
  <c r="Z15" i="17"/>
  <c r="AD7" i="17"/>
  <c r="AA16" i="17"/>
  <c r="AA15" i="17"/>
  <c r="Z8" i="17"/>
  <c r="AP40" i="54"/>
  <c r="BB26" i="54"/>
  <c r="BC26" i="54"/>
  <c r="BG31" i="54"/>
  <c r="BN31" i="54" s="1"/>
  <c r="AP31" i="54"/>
  <c r="Z24" i="17"/>
  <c r="BF38" i="54"/>
  <c r="BM38" i="54" s="1"/>
  <c r="Q40" i="23"/>
  <c r="BT25" i="52"/>
  <c r="AS32" i="52"/>
  <c r="BL25" i="52"/>
  <c r="F38" i="26"/>
  <c r="P40" i="23"/>
  <c r="T40" i="23" s="1"/>
  <c r="E28" i="20"/>
  <c r="AT6" i="54"/>
  <c r="BD6" i="54" s="1"/>
  <c r="AA36" i="17"/>
  <c r="K39" i="52"/>
  <c r="K44" i="52" s="1"/>
  <c r="Z38" i="17"/>
  <c r="BM21" i="52"/>
  <c r="AB36" i="17"/>
  <c r="I50" i="54"/>
  <c r="AC36" i="17"/>
  <c r="AF29" i="52"/>
  <c r="Z36" i="17"/>
  <c r="AP37" i="54"/>
  <c r="AD38" i="17"/>
  <c r="Z7" i="17"/>
  <c r="AB7" i="17"/>
  <c r="AE29" i="52"/>
  <c r="AP39" i="54"/>
  <c r="AA24" i="17"/>
  <c r="AR34" i="52"/>
  <c r="E39" i="52"/>
  <c r="E44" i="52" s="1"/>
  <c r="AB24" i="17"/>
  <c r="BM23" i="52"/>
  <c r="AS34" i="52"/>
  <c r="BQ23" i="52"/>
  <c r="AZ23" i="52"/>
  <c r="D39" i="52"/>
  <c r="D44" i="52" s="1"/>
  <c r="AZ11" i="52"/>
  <c r="AZ14" i="52" s="1"/>
  <c r="AZ16" i="52"/>
  <c r="AR32" i="52"/>
  <c r="O40" i="23"/>
  <c r="T16" i="23"/>
  <c r="O38" i="23"/>
  <c r="F39" i="52"/>
  <c r="F44" i="52" s="1"/>
  <c r="AT32" i="52"/>
  <c r="AT34" i="52"/>
  <c r="AS33" i="52"/>
  <c r="AY34" i="54"/>
  <c r="H39" i="52"/>
  <c r="H44" i="52" s="1"/>
  <c r="G39" i="52"/>
  <c r="G44" i="52" s="1"/>
  <c r="AC29" i="52"/>
  <c r="J39" i="52"/>
  <c r="J44" i="52" s="1"/>
  <c r="J29" i="52"/>
  <c r="AY34" i="52"/>
  <c r="AD29" i="52"/>
  <c r="AY35" i="54"/>
  <c r="BI35" i="54" s="1"/>
  <c r="BI40" i="52"/>
  <c r="I39" i="52"/>
  <c r="I44" i="52" s="1"/>
  <c r="AZ24" i="52"/>
  <c r="BO24" i="52"/>
  <c r="AZ21" i="52"/>
  <c r="H50" i="54"/>
  <c r="AV34" i="54"/>
  <c r="K29" i="52"/>
  <c r="AZ17" i="52"/>
  <c r="AZ19" i="52" s="1"/>
  <c r="AB29" i="52"/>
  <c r="BB40" i="52"/>
  <c r="BB22" i="52" s="1"/>
  <c r="BL22" i="52" s="1"/>
  <c r="AR35" i="54"/>
  <c r="BB35" i="54" s="1"/>
  <c r="BC36" i="54"/>
  <c r="BT23" i="52"/>
  <c r="AT33" i="52"/>
  <c r="G28" i="20"/>
  <c r="AU33" i="52"/>
  <c r="F28" i="20"/>
  <c r="E10" i="20"/>
  <c r="E15" i="20" s="1"/>
  <c r="E18" i="20" s="1"/>
  <c r="BD40" i="52"/>
  <c r="AT35" i="54"/>
  <c r="BD35" i="54" s="1"/>
  <c r="AT34" i="54"/>
  <c r="BD34" i="54" s="1"/>
  <c r="AU31" i="52"/>
  <c r="AU32" i="52"/>
  <c r="AZ32" i="52" s="1"/>
  <c r="AU34" i="52"/>
  <c r="AZ34" i="52" s="1"/>
  <c r="AV34" i="52"/>
  <c r="AU35" i="54"/>
  <c r="BE40" i="52"/>
  <c r="BF40" i="52"/>
  <c r="AV35" i="54"/>
  <c r="BF35" i="54" s="1"/>
  <c r="BI22" i="52"/>
  <c r="BI26" i="52" s="1"/>
  <c r="BI34" i="52" s="1"/>
  <c r="BS22" i="52"/>
  <c r="S37" i="23"/>
  <c r="BI21" i="52"/>
  <c r="AX35" i="54"/>
  <c r="BH35" i="54" s="1"/>
  <c r="BO35" i="54" s="1"/>
  <c r="N13" i="60" s="1"/>
  <c r="BH40" i="52"/>
  <c r="AW34" i="52"/>
  <c r="L40" i="26"/>
  <c r="L41" i="26" s="1"/>
  <c r="BG40" i="52"/>
  <c r="BG22" i="52" s="1"/>
  <c r="BQ22" i="52" s="1"/>
  <c r="AW35" i="54"/>
  <c r="BG35" i="54" s="1"/>
  <c r="BN35" i="54" s="1"/>
  <c r="M13" i="60" s="1"/>
  <c r="AA29" i="52"/>
  <c r="AY33" i="54"/>
  <c r="AP36" i="54"/>
  <c r="BT24" i="52"/>
  <c r="AX34" i="54"/>
  <c r="AU34" i="54"/>
  <c r="BE34" i="54" s="1"/>
  <c r="BL34" i="54" s="1"/>
  <c r="AX34" i="52"/>
  <c r="AW34" i="54"/>
  <c r="G29" i="52"/>
  <c r="I29" i="52"/>
  <c r="BC15" i="54"/>
  <c r="H29" i="52"/>
  <c r="F10" i="20"/>
  <c r="Q38" i="23"/>
  <c r="T14" i="23"/>
  <c r="AV33" i="52"/>
  <c r="BD22" i="52"/>
  <c r="BD21" i="52"/>
  <c r="BC39" i="52"/>
  <c r="BC18" i="52" s="1"/>
  <c r="AV32" i="52"/>
  <c r="BC37" i="52"/>
  <c r="AS8" i="54"/>
  <c r="BC8" i="54" s="1"/>
  <c r="AS21" i="54"/>
  <c r="AS19" i="54"/>
  <c r="BC19" i="54" s="1"/>
  <c r="AS11" i="54"/>
  <c r="AS13" i="54"/>
  <c r="BC13" i="54" s="1"/>
  <c r="BC38" i="52"/>
  <c r="AS7" i="54"/>
  <c r="AS29" i="54"/>
  <c r="BC29" i="54" s="1"/>
  <c r="AS12" i="54"/>
  <c r="BC12" i="54" s="1"/>
  <c r="AS6" i="54"/>
  <c r="BC6" i="54" s="1"/>
  <c r="AV31" i="52"/>
  <c r="AZ31" i="52" s="1"/>
  <c r="BF22" i="52"/>
  <c r="BP22" i="52" s="1"/>
  <c r="P37" i="23"/>
  <c r="BF21" i="52"/>
  <c r="BP21" i="52" s="1"/>
  <c r="K40" i="26"/>
  <c r="T15" i="23"/>
  <c r="O39" i="23"/>
  <c r="T39" i="23" s="1"/>
  <c r="Q37" i="23"/>
  <c r="BG21" i="52"/>
  <c r="I40" i="26"/>
  <c r="I41" i="26"/>
  <c r="BH22" i="52"/>
  <c r="BR22" i="52" s="1"/>
  <c r="R37" i="23"/>
  <c r="R41" i="23" s="1"/>
  <c r="BH21" i="52"/>
  <c r="BR21" i="52" s="1"/>
  <c r="BS21" i="52"/>
  <c r="BE22" i="52"/>
  <c r="BJ22" i="52" s="1"/>
  <c r="BE21" i="52"/>
  <c r="BO21" i="52" s="1"/>
  <c r="BO26" i="52" s="1"/>
  <c r="BO34" i="52" s="1"/>
  <c r="J40" i="26"/>
  <c r="J41" i="26" s="1"/>
  <c r="AR8" i="54"/>
  <c r="BB8" i="54" s="1"/>
  <c r="H15" i="20"/>
  <c r="BB15" i="54"/>
  <c r="BB39" i="52"/>
  <c r="BB16" i="54"/>
  <c r="AW6" i="54"/>
  <c r="AW33" i="52"/>
  <c r="O11" i="20"/>
  <c r="BC11" i="52"/>
  <c r="BM11" i="52" s="1"/>
  <c r="O9" i="20"/>
  <c r="BC17" i="52"/>
  <c r="BM17" i="52" s="1"/>
  <c r="BC7" i="52"/>
  <c r="BC32" i="52" s="1"/>
  <c r="BC12" i="52"/>
  <c r="BM12" i="52" s="1"/>
  <c r="BM32" i="52" s="1"/>
  <c r="O10" i="20"/>
  <c r="AW31" i="52"/>
  <c r="AW32" i="52"/>
  <c r="BM13" i="52"/>
  <c r="BN21" i="52"/>
  <c r="BF26" i="52"/>
  <c r="BF34" i="52" s="1"/>
  <c r="BO22" i="52"/>
  <c r="O12" i="20"/>
  <c r="G15" i="20"/>
  <c r="H40" i="26"/>
  <c r="H41" i="26" s="1"/>
  <c r="L12" i="20"/>
  <c r="BH26" i="52"/>
  <c r="BH34" i="52" s="1"/>
  <c r="BB21" i="54"/>
  <c r="AR19" i="54"/>
  <c r="BB19" i="54" s="1"/>
  <c r="AR11" i="54"/>
  <c r="BB11" i="54" s="1"/>
  <c r="AR12" i="54"/>
  <c r="BB12" i="54" s="1"/>
  <c r="AR20" i="54"/>
  <c r="BB20" i="54" s="1"/>
  <c r="AR7" i="54"/>
  <c r="BB7" i="54" s="1"/>
  <c r="BB37" i="52"/>
  <c r="BB11" i="52" s="1"/>
  <c r="BB31" i="52" s="1"/>
  <c r="BB38" i="52"/>
  <c r="BB12" i="52" s="1"/>
  <c r="BL12" i="52" s="1"/>
  <c r="AR13" i="54"/>
  <c r="BB13" i="54" s="1"/>
  <c r="AR29" i="54"/>
  <c r="BB29" i="54" s="1"/>
  <c r="E20" i="58"/>
  <c r="BL13" i="52"/>
  <c r="BB18" i="52"/>
  <c r="BL18" i="52"/>
  <c r="AX32" i="52"/>
  <c r="BM8" i="52"/>
  <c r="AX31" i="52"/>
  <c r="BC14" i="52"/>
  <c r="BD39" i="52"/>
  <c r="BD18" i="52" s="1"/>
  <c r="BD33" i="52" s="1"/>
  <c r="BD16" i="54"/>
  <c r="BD15" i="54"/>
  <c r="AX33" i="52"/>
  <c r="AZ13" i="52"/>
  <c r="BM7" i="52"/>
  <c r="AT24" i="54"/>
  <c r="AT29" i="54"/>
  <c r="BD29" i="54" s="1"/>
  <c r="AT12" i="54"/>
  <c r="BD38" i="52"/>
  <c r="AT21" i="54"/>
  <c r="BD21" i="54" s="1"/>
  <c r="BD37" i="52"/>
  <c r="AT8" i="54"/>
  <c r="BD8" i="54" s="1"/>
  <c r="AT19" i="54"/>
  <c r="BD19" i="54" s="1"/>
  <c r="AT25" i="54"/>
  <c r="BD25" i="54" s="1"/>
  <c r="AT20" i="54"/>
  <c r="BD20" i="54" s="1"/>
  <c r="AX20" i="54"/>
  <c r="J20" i="58"/>
  <c r="G41" i="20"/>
  <c r="S36" i="23"/>
  <c r="BB17" i="52"/>
  <c r="BL17" i="52"/>
  <c r="BB33" i="52"/>
  <c r="BL8" i="52"/>
  <c r="BL33" i="52" s="1"/>
  <c r="BD17" i="52"/>
  <c r="BN17" i="52" s="1"/>
  <c r="BD7" i="52"/>
  <c r="BD12" i="52"/>
  <c r="BN12" i="52" s="1"/>
  <c r="AY31" i="52"/>
  <c r="I15" i="20"/>
  <c r="BD11" i="52"/>
  <c r="BN11" i="52" s="1"/>
  <c r="AY32" i="52"/>
  <c r="AZ12" i="52"/>
  <c r="AZ6" i="52"/>
  <c r="AZ9" i="52"/>
  <c r="AY33" i="52"/>
  <c r="BN18" i="52"/>
  <c r="BN13" i="52"/>
  <c r="AY6" i="54"/>
  <c r="BI6" i="54" s="1"/>
  <c r="H20" i="58"/>
  <c r="I20" i="58"/>
  <c r="R36" i="23"/>
  <c r="Q36" i="23"/>
  <c r="G20" i="58"/>
  <c r="T12" i="23"/>
  <c r="T17" i="23" s="1"/>
  <c r="O36" i="23"/>
  <c r="P36" i="23"/>
  <c r="T13" i="23"/>
  <c r="O37" i="23"/>
  <c r="AU12" i="54"/>
  <c r="BE38" i="52"/>
  <c r="AU28" i="54"/>
  <c r="BE28" i="54" s="1"/>
  <c r="BL28" i="54" s="1"/>
  <c r="AU30" i="54"/>
  <c r="BE30" i="54" s="1"/>
  <c r="BE37" i="52"/>
  <c r="AU29" i="54"/>
  <c r="BE29" i="54" s="1"/>
  <c r="BL29" i="54" s="1"/>
  <c r="L11" i="20"/>
  <c r="BF39" i="52"/>
  <c r="BF16" i="54"/>
  <c r="BM16" i="54" s="1"/>
  <c r="AZ33" i="52"/>
  <c r="J15" i="20"/>
  <c r="L9" i="20"/>
  <c r="BF38" i="52"/>
  <c r="AV30" i="54"/>
  <c r="BF30" i="54" s="1"/>
  <c r="BM30" i="54" s="1"/>
  <c r="BF37" i="52"/>
  <c r="AV28" i="54"/>
  <c r="BF28" i="54" s="1"/>
  <c r="BM28" i="54" s="1"/>
  <c r="AV6" i="54"/>
  <c r="BF6" i="54" s="1"/>
  <c r="K15" i="20"/>
  <c r="K18" i="20"/>
  <c r="J9" i="57" s="1"/>
  <c r="BN8" i="52"/>
  <c r="BE15" i="54"/>
  <c r="BE39" i="52"/>
  <c r="F20" i="58"/>
  <c r="L10" i="20"/>
  <c r="AZ28" i="52"/>
  <c r="BP13" i="52"/>
  <c r="G39" i="20"/>
  <c r="E18" i="58"/>
  <c r="BE11" i="52"/>
  <c r="BE7" i="52"/>
  <c r="BE32" i="52" s="1"/>
  <c r="BE17" i="52"/>
  <c r="BE12" i="52"/>
  <c r="BO12" i="52" s="1"/>
  <c r="BF16" i="52"/>
  <c r="BF11" i="52"/>
  <c r="BP11" i="52" s="1"/>
  <c r="BF6" i="52"/>
  <c r="BF7" i="52"/>
  <c r="G40" i="20"/>
  <c r="E19" i="58"/>
  <c r="BG39" i="52"/>
  <c r="BQ8" i="52" s="1"/>
  <c r="G18" i="58"/>
  <c r="BP16" i="52"/>
  <c r="AW21" i="54"/>
  <c r="BG21" i="54" s="1"/>
  <c r="BN21" i="54" s="1"/>
  <c r="AW13" i="54"/>
  <c r="BG13" i="54" s="1"/>
  <c r="BN13" i="54" s="1"/>
  <c r="AW8" i="54"/>
  <c r="BG8" i="54" s="1"/>
  <c r="BN8" i="54" s="1"/>
  <c r="BG38" i="52"/>
  <c r="AW28" i="54"/>
  <c r="BG28" i="54" s="1"/>
  <c r="BN28" i="54" s="1"/>
  <c r="BG37" i="52"/>
  <c r="AW7" i="54"/>
  <c r="BG7" i="54" s="1"/>
  <c r="BN7" i="54" s="1"/>
  <c r="AW11" i="54"/>
  <c r="BG11" i="54" s="1"/>
  <c r="BN11" i="54" s="1"/>
  <c r="G38" i="20"/>
  <c r="G35" i="20"/>
  <c r="BH15" i="54"/>
  <c r="BO15" i="54" s="1"/>
  <c r="BH39" i="52"/>
  <c r="BR13" i="52" s="1"/>
  <c r="BP7" i="52"/>
  <c r="BO17" i="52"/>
  <c r="BH38" i="52"/>
  <c r="AX30" i="54"/>
  <c r="BH30" i="54" s="1"/>
  <c r="BO30" i="54" s="1"/>
  <c r="AX29" i="54"/>
  <c r="BH29" i="54" s="1"/>
  <c r="BO29" i="54" s="1"/>
  <c r="AX7" i="54"/>
  <c r="BH7" i="54" s="1"/>
  <c r="BO7" i="54" s="1"/>
  <c r="BH37" i="52"/>
  <c r="AX28" i="54"/>
  <c r="BH28" i="54" s="1"/>
  <c r="BO28" i="54" s="1"/>
  <c r="G19" i="58"/>
  <c r="BP6" i="52"/>
  <c r="BH16" i="52"/>
  <c r="BR16" i="52" s="1"/>
  <c r="BH11" i="52"/>
  <c r="BH6" i="52"/>
  <c r="BG7" i="52"/>
  <c r="BG17" i="52"/>
  <c r="BG12" i="52"/>
  <c r="BG18" i="52"/>
  <c r="BQ13" i="52"/>
  <c r="P34" i="23"/>
  <c r="P14" i="60"/>
  <c r="G17" i="58"/>
  <c r="G11" i="58"/>
  <c r="G12" i="58" s="1"/>
  <c r="BG16" i="52"/>
  <c r="BQ16" i="52" s="1"/>
  <c r="BG11" i="52"/>
  <c r="BG6" i="52"/>
  <c r="P35" i="23"/>
  <c r="T35" i="23" s="1"/>
  <c r="F19" i="58"/>
  <c r="F18" i="58"/>
  <c r="F22" i="58" s="1"/>
  <c r="F23" i="58" s="1"/>
  <c r="BH7" i="52"/>
  <c r="BH9" i="52" s="1"/>
  <c r="BH17" i="52"/>
  <c r="BR17" i="52" s="1"/>
  <c r="BH12" i="52"/>
  <c r="BR12" i="52"/>
  <c r="E11" i="58"/>
  <c r="E12" i="58" s="1"/>
  <c r="E17" i="58"/>
  <c r="E22" i="58" s="1"/>
  <c r="E23" i="58" s="1"/>
  <c r="BQ6" i="52"/>
  <c r="BQ9" i="52" s="1"/>
  <c r="BQ12" i="52"/>
  <c r="BQ11" i="52"/>
  <c r="BQ17" i="52"/>
  <c r="O34" i="23"/>
  <c r="T34" i="23" s="1"/>
  <c r="O35" i="23"/>
  <c r="BI16" i="54"/>
  <c r="BP16" i="54" s="1"/>
  <c r="BI39" i="52"/>
  <c r="BI15" i="54"/>
  <c r="BP15" i="54" s="1"/>
  <c r="BQ7" i="52"/>
  <c r="BH31" i="52"/>
  <c r="I19" i="58"/>
  <c r="BR6" i="52"/>
  <c r="I18" i="58"/>
  <c r="F17" i="58"/>
  <c r="F11" i="58"/>
  <c r="F12" i="58" s="1"/>
  <c r="BI38" i="52"/>
  <c r="AY29" i="54"/>
  <c r="BI29" i="54" s="1"/>
  <c r="BP29" i="54" s="1"/>
  <c r="BI37" i="52"/>
  <c r="BI11" i="52" s="1"/>
  <c r="AY30" i="54"/>
  <c r="BI30" i="54" s="1"/>
  <c r="BP30" i="54" s="1"/>
  <c r="AY28" i="54"/>
  <c r="BI28" i="54" s="1"/>
  <c r="DC18" i="5"/>
  <c r="DD18" i="5" s="1"/>
  <c r="DC19" i="5"/>
  <c r="DD19" i="5" s="1"/>
  <c r="DC20" i="5"/>
  <c r="DD20" i="5" s="1"/>
  <c r="DC21" i="5"/>
  <c r="DD21" i="5" s="1"/>
  <c r="BR11" i="52"/>
  <c r="R34" i="23"/>
  <c r="H18" i="58"/>
  <c r="BI7" i="52"/>
  <c r="BS7" i="52" s="1"/>
  <c r="BI17" i="52"/>
  <c r="BS17" i="52" s="1"/>
  <c r="BI12" i="52"/>
  <c r="BI18" i="52"/>
  <c r="BS8" i="52"/>
  <c r="BS13" i="52"/>
  <c r="O33" i="23"/>
  <c r="O17" i="23"/>
  <c r="P33" i="23"/>
  <c r="P17" i="23"/>
  <c r="R35" i="23"/>
  <c r="H19" i="58"/>
  <c r="I17" i="58"/>
  <c r="I11" i="58"/>
  <c r="I12" i="58"/>
  <c r="H17" i="58"/>
  <c r="H11" i="58"/>
  <c r="H12" i="58" s="1"/>
  <c r="Q34" i="23"/>
  <c r="Q41" i="23" s="1"/>
  <c r="BS18" i="52"/>
  <c r="BI32" i="52"/>
  <c r="Q35" i="23"/>
  <c r="BS12" i="52"/>
  <c r="R33" i="23"/>
  <c r="R17" i="23"/>
  <c r="J19" i="58"/>
  <c r="Q33" i="23"/>
  <c r="Q17" i="23"/>
  <c r="J18" i="58"/>
  <c r="S35" i="23"/>
  <c r="T11" i="23"/>
  <c r="S34" i="23"/>
  <c r="T10" i="23"/>
  <c r="J17" i="58"/>
  <c r="J11" i="58"/>
  <c r="J12" i="58" s="1"/>
  <c r="S33" i="23"/>
  <c r="S41" i="23" s="1"/>
  <c r="S17" i="23"/>
  <c r="T9" i="23"/>
  <c r="AD37" i="47"/>
  <c r="AE37" i="47"/>
  <c r="AC37" i="47"/>
  <c r="CH37" i="47"/>
  <c r="N36" i="52"/>
  <c r="N41" i="52" s="1"/>
  <c r="J37" i="47"/>
  <c r="L37" i="47"/>
  <c r="P36" i="52"/>
  <c r="P41" i="52" s="1"/>
  <c r="CI37" i="47"/>
  <c r="T37" i="47"/>
  <c r="AJ37" i="47"/>
  <c r="BZ37" i="47"/>
  <c r="AI37" i="47"/>
  <c r="AL37" i="47"/>
  <c r="K37" i="47"/>
  <c r="O36" i="52"/>
  <c r="O41" i="52" s="1"/>
  <c r="AF37" i="47"/>
  <c r="AK37" i="47"/>
  <c r="U37" i="47"/>
  <c r="BY37" i="47"/>
  <c r="CJ37" i="47"/>
  <c r="CA37" i="47"/>
  <c r="AP37" i="47"/>
  <c r="AQ37" i="47"/>
  <c r="S37" i="47"/>
  <c r="O29" i="52"/>
  <c r="O30" i="53"/>
  <c r="Y30" i="53" s="1"/>
  <c r="AO37" i="47"/>
  <c r="AG37" i="47"/>
  <c r="AB37" i="47"/>
  <c r="N30" i="53"/>
  <c r="AH37" i="47"/>
  <c r="AN37" i="47"/>
  <c r="AR37" i="47"/>
  <c r="N29" i="52"/>
  <c r="P29" i="52"/>
  <c r="AS37" i="47"/>
  <c r="AM37" i="47"/>
  <c r="AS30" i="54"/>
  <c r="BC30" i="54" s="1"/>
  <c r="D36" i="52"/>
  <c r="D41" i="52" s="1"/>
  <c r="N28" i="53"/>
  <c r="X28" i="53" s="1"/>
  <c r="CQ37" i="47"/>
  <c r="CQ38" i="47" s="1"/>
  <c r="F36" i="52"/>
  <c r="F41" i="52" s="1"/>
  <c r="CS37" i="47"/>
  <c r="CS38" i="47" s="1"/>
  <c r="O28" i="53"/>
  <c r="Y28" i="53" s="1"/>
  <c r="E36" i="52"/>
  <c r="E41" i="52" s="1"/>
  <c r="CR37" i="47"/>
  <c r="CR38" i="47" s="1"/>
  <c r="AT30" i="54"/>
  <c r="BD30" i="54" s="1"/>
  <c r="BC16" i="52"/>
  <c r="BC19" i="52" s="1"/>
  <c r="AR28" i="54"/>
  <c r="BD16" i="52"/>
  <c r="BD19" i="52" s="1"/>
  <c r="BB16" i="52"/>
  <c r="BB19" i="52"/>
  <c r="F29" i="52"/>
  <c r="BL16" i="52"/>
  <c r="BL19" i="52" s="1"/>
  <c r="X29" i="52"/>
  <c r="Y29" i="52"/>
  <c r="Z29" i="52"/>
  <c r="D29" i="52"/>
  <c r="AT31" i="52"/>
  <c r="BD6" i="52"/>
  <c r="AR31" i="52"/>
  <c r="BB6" i="52"/>
  <c r="AS31" i="52"/>
  <c r="BC6" i="52"/>
  <c r="BM6" i="52"/>
  <c r="E29" i="52"/>
  <c r="BL6" i="52"/>
  <c r="BC9" i="52"/>
  <c r="BO40" i="54" l="1"/>
  <c r="BL40" i="54"/>
  <c r="I52" i="59"/>
  <c r="L11" i="41"/>
  <c r="L25" i="41" s="1"/>
  <c r="J52" i="59"/>
  <c r="M11" i="41"/>
  <c r="M25" i="41" s="1"/>
  <c r="H52" i="59"/>
  <c r="K11" i="41"/>
  <c r="K25" i="41" s="1"/>
  <c r="K32" i="59"/>
  <c r="H32" i="59"/>
  <c r="J20" i="59"/>
  <c r="K18" i="59"/>
  <c r="K20" i="59" s="1"/>
  <c r="G20" i="59"/>
  <c r="F20" i="59"/>
  <c r="K19" i="59"/>
  <c r="H42" i="59"/>
  <c r="F22" i="59"/>
  <c r="AG45" i="40"/>
  <c r="AH45" i="40"/>
  <c r="N49" i="40"/>
  <c r="X21" i="53"/>
  <c r="X22" i="53"/>
  <c r="P10" i="60"/>
  <c r="Y21" i="53"/>
  <c r="E33" i="53"/>
  <c r="E21" i="59"/>
  <c r="D21" i="59"/>
  <c r="Y8" i="53"/>
  <c r="F34" i="53"/>
  <c r="Y9" i="53"/>
  <c r="X7" i="53"/>
  <c r="F35" i="53"/>
  <c r="V39" i="52"/>
  <c r="V44" i="52" s="1"/>
  <c r="X10" i="53"/>
  <c r="X36" i="53" s="1"/>
  <c r="F12" i="59"/>
  <c r="X9" i="53"/>
  <c r="CX16" i="5"/>
  <c r="CX37" i="5" s="1"/>
  <c r="CX38" i="5" s="1"/>
  <c r="CW16" i="5"/>
  <c r="CW37" i="5" s="1"/>
  <c r="CW38" i="5" s="1"/>
  <c r="BH10" i="13"/>
  <c r="AW17" i="5"/>
  <c r="AD16" i="5"/>
  <c r="AU17" i="5"/>
  <c r="AD21" i="5"/>
  <c r="AB17" i="5"/>
  <c r="AB20" i="5"/>
  <c r="AB21" i="5"/>
  <c r="AE17" i="5"/>
  <c r="AF16" i="5"/>
  <c r="AB19" i="5"/>
  <c r="AK16" i="5"/>
  <c r="AV17" i="5"/>
  <c r="AF17" i="5"/>
  <c r="AO16" i="5"/>
  <c r="AP17" i="5"/>
  <c r="BH31" i="6"/>
  <c r="BH35" i="6"/>
  <c r="BH36" i="6"/>
  <c r="BJ10" i="13"/>
  <c r="H20" i="29"/>
  <c r="AI16" i="5"/>
  <c r="AM16" i="5" s="1"/>
  <c r="AP16" i="5"/>
  <c r="AQ17" i="5"/>
  <c r="BN28" i="6"/>
  <c r="DI28" i="6" s="1"/>
  <c r="BT38" i="6"/>
  <c r="BT34" i="6"/>
  <c r="DJ34" i="6" s="1"/>
  <c r="CF29" i="11"/>
  <c r="CF38" i="11" s="1"/>
  <c r="DH31" i="6"/>
  <c r="F15" i="20"/>
  <c r="F18" i="20" s="1"/>
  <c r="G21" i="58"/>
  <c r="I21" i="58"/>
  <c r="O16" i="20"/>
  <c r="BE42" i="40"/>
  <c r="BE45" i="40" s="1"/>
  <c r="AY42" i="40"/>
  <c r="AY45" i="40" s="1"/>
  <c r="AY17" i="5"/>
  <c r="CT17" i="5" s="1"/>
  <c r="AV36" i="11"/>
  <c r="AV26" i="6"/>
  <c r="DF26" i="6" s="1"/>
  <c r="BT36" i="6"/>
  <c r="DJ36" i="6" s="1"/>
  <c r="CL30" i="6"/>
  <c r="DM30" i="6" s="1"/>
  <c r="DH29" i="6"/>
  <c r="BH26" i="6"/>
  <c r="DH26" i="6" s="1"/>
  <c r="BH33" i="6"/>
  <c r="DH33" i="6" s="1"/>
  <c r="BH34" i="11"/>
  <c r="I22" i="58"/>
  <c r="I23" i="58" s="1"/>
  <c r="BF10" i="13"/>
  <c r="BE16" i="5"/>
  <c r="BK42" i="40"/>
  <c r="BK45" i="40" s="1"/>
  <c r="CR17" i="5"/>
  <c r="DI38" i="11"/>
  <c r="DI39" i="11" s="1"/>
  <c r="DJ38" i="6"/>
  <c r="BT33" i="6"/>
  <c r="DJ33" i="6" s="1"/>
  <c r="DH36" i="6"/>
  <c r="DH27" i="6"/>
  <c r="BH30" i="6"/>
  <c r="DH30" i="6" s="1"/>
  <c r="BH34" i="6"/>
  <c r="DH34" i="6" s="1"/>
  <c r="CV17" i="5"/>
  <c r="DJ38" i="11"/>
  <c r="DJ39" i="11" s="1"/>
  <c r="CT16" i="5"/>
  <c r="CT37" i="5" s="1"/>
  <c r="CT38" i="5" s="1"/>
  <c r="BB35" i="11"/>
  <c r="DG35" i="11" s="1"/>
  <c r="BB31" i="11"/>
  <c r="DG31" i="11" s="1"/>
  <c r="BB30" i="11"/>
  <c r="BB32" i="11"/>
  <c r="BZ29" i="6"/>
  <c r="DK29" i="6" s="1"/>
  <c r="CL31" i="11"/>
  <c r="DH37" i="6"/>
  <c r="DH35" i="6"/>
  <c r="DH34" i="11"/>
  <c r="BH29" i="11"/>
  <c r="L15" i="20"/>
  <c r="F42" i="20"/>
  <c r="F43" i="20" s="1"/>
  <c r="BD10" i="13"/>
  <c r="CV16" i="5"/>
  <c r="CV37" i="5" s="1"/>
  <c r="CV38" i="5" s="1"/>
  <c r="BQ17" i="5"/>
  <c r="CW17" i="5" s="1"/>
  <c r="AG16" i="5"/>
  <c r="CQ16" i="5" s="1"/>
  <c r="CQ37" i="5" s="1"/>
  <c r="CQ38" i="5" s="1"/>
  <c r="AV29" i="11"/>
  <c r="BZ38" i="6"/>
  <c r="DK38" i="6" s="1"/>
  <c r="DK35" i="11"/>
  <c r="BZ33" i="11"/>
  <c r="CL32" i="11"/>
  <c r="DM32" i="11" s="1"/>
  <c r="BN33" i="6"/>
  <c r="DI33" i="6" s="1"/>
  <c r="BH30" i="11"/>
  <c r="DH30" i="11" s="1"/>
  <c r="G42" i="20"/>
  <c r="G43" i="20" s="1"/>
  <c r="E19" i="20"/>
  <c r="D9" i="57"/>
  <c r="DF36" i="11"/>
  <c r="DL29" i="11"/>
  <c r="DL38" i="11" s="1"/>
  <c r="DL39" i="11" s="1"/>
  <c r="D34" i="53"/>
  <c r="X25" i="53"/>
  <c r="DG30" i="11"/>
  <c r="DM31" i="11"/>
  <c r="DH29" i="11"/>
  <c r="DH38" i="11" s="1"/>
  <c r="DH39" i="11" s="1"/>
  <c r="Q7" i="20"/>
  <c r="P14" i="20"/>
  <c r="P10" i="20"/>
  <c r="P11" i="20"/>
  <c r="P13" i="20"/>
  <c r="P9" i="20"/>
  <c r="P12" i="20"/>
  <c r="AV38" i="11"/>
  <c r="DF29" i="11"/>
  <c r="DF38" i="11" s="1"/>
  <c r="DF39" i="11" s="1"/>
  <c r="DG32" i="11"/>
  <c r="DK33" i="11"/>
  <c r="BZ38" i="11"/>
  <c r="J22" i="58"/>
  <c r="J23" i="58" s="1"/>
  <c r="H22" i="58"/>
  <c r="H23" i="58" s="1"/>
  <c r="BQ42" i="40"/>
  <c r="BW42" i="40"/>
  <c r="CX42" i="40" s="1"/>
  <c r="BL36" i="54"/>
  <c r="K15" i="60" s="1"/>
  <c r="BN36" i="54"/>
  <c r="M15" i="60" s="1"/>
  <c r="P15" i="60" s="1"/>
  <c r="BN39" i="54"/>
  <c r="M16" i="60" s="1"/>
  <c r="BN37" i="54"/>
  <c r="M17" i="60" s="1"/>
  <c r="E14" i="56"/>
  <c r="I14" i="56"/>
  <c r="G15" i="56"/>
  <c r="E16" i="56"/>
  <c r="I16" i="56"/>
  <c r="G17" i="56"/>
  <c r="BM13" i="54"/>
  <c r="BP13" i="54"/>
  <c r="BL39" i="54"/>
  <c r="K16" i="60" s="1"/>
  <c r="BO36" i="54"/>
  <c r="N15" i="60" s="1"/>
  <c r="BO39" i="54"/>
  <c r="N16" i="60" s="1"/>
  <c r="BO37" i="54"/>
  <c r="N17" i="60" s="1"/>
  <c r="F47" i="59"/>
  <c r="K47" i="59" s="1"/>
  <c r="F14" i="56"/>
  <c r="J14" i="56"/>
  <c r="H15" i="56"/>
  <c r="K15" i="56" s="1"/>
  <c r="F16" i="56"/>
  <c r="J16" i="56"/>
  <c r="H17" i="56"/>
  <c r="G22" i="58"/>
  <c r="G23" i="58" s="1"/>
  <c r="O14" i="20"/>
  <c r="D22" i="58"/>
  <c r="D23" i="58" s="1"/>
  <c r="BO13" i="54"/>
  <c r="BL37" i="54"/>
  <c r="BP36" i="54"/>
  <c r="O15" i="60" s="1"/>
  <c r="BP39" i="54"/>
  <c r="O16" i="60" s="1"/>
  <c r="BP37" i="54"/>
  <c r="O17" i="60" s="1"/>
  <c r="G14" i="56"/>
  <c r="E15" i="56"/>
  <c r="I15" i="56"/>
  <c r="G16" i="56"/>
  <c r="E17" i="56"/>
  <c r="I17" i="56"/>
  <c r="CU42" i="40"/>
  <c r="BM36" i="54"/>
  <c r="L15" i="60" s="1"/>
  <c r="BM37" i="54"/>
  <c r="L17" i="60" s="1"/>
  <c r="H14" i="56"/>
  <c r="F15" i="56"/>
  <c r="J15" i="56"/>
  <c r="H16" i="56"/>
  <c r="F17" i="56"/>
  <c r="F33" i="53"/>
  <c r="D33" i="53"/>
  <c r="CQ19" i="8"/>
  <c r="CR16" i="8"/>
  <c r="CS19" i="8"/>
  <c r="CX23" i="8"/>
  <c r="CR24" i="8"/>
  <c r="X20" i="53"/>
  <c r="CQ18" i="8"/>
  <c r="CV24" i="8"/>
  <c r="CT25" i="8"/>
  <c r="CX25" i="8"/>
  <c r="E35" i="53"/>
  <c r="CX38" i="8"/>
  <c r="CT38" i="8"/>
  <c r="CV42" i="40"/>
  <c r="CR42" i="40"/>
  <c r="AM45" i="40"/>
  <c r="CU45" i="40"/>
  <c r="CT42" i="40"/>
  <c r="BU45" i="40"/>
  <c r="AU45" i="40"/>
  <c r="W45" i="40"/>
  <c r="K49" i="40"/>
  <c r="CQ45" i="40"/>
  <c r="V37" i="52"/>
  <c r="V42" i="52" s="1"/>
  <c r="Q50" i="40"/>
  <c r="L36" i="52"/>
  <c r="L41" i="52" s="1"/>
  <c r="V36" i="52"/>
  <c r="V41" i="52" s="1"/>
  <c r="BI38" i="13"/>
  <c r="Q42" i="52"/>
  <c r="AJ29" i="52"/>
  <c r="AR29" i="52"/>
  <c r="AH29" i="52"/>
  <c r="AS29" i="52"/>
  <c r="AI29" i="52"/>
  <c r="L39" i="52"/>
  <c r="L44" i="52" s="1"/>
  <c r="BN14" i="52"/>
  <c r="BP26" i="52"/>
  <c r="BP34" i="52" s="1"/>
  <c r="BS32" i="52"/>
  <c r="BS26" i="52"/>
  <c r="BS34" i="52" s="1"/>
  <c r="BC28" i="52"/>
  <c r="BQ32" i="52"/>
  <c r="BQ31" i="52"/>
  <c r="BJ7" i="52"/>
  <c r="BR7" i="52"/>
  <c r="BF31" i="52"/>
  <c r="BE26" i="52"/>
  <c r="BE34" i="52" s="1"/>
  <c r="BR26" i="52"/>
  <c r="BR34" i="52" s="1"/>
  <c r="BR31" i="52"/>
  <c r="BD31" i="52"/>
  <c r="BH32" i="52"/>
  <c r="BD14" i="52"/>
  <c r="BO7" i="52"/>
  <c r="BO32" i="52" s="1"/>
  <c r="BG26" i="52"/>
  <c r="BG34" i="52" s="1"/>
  <c r="Y10" i="53"/>
  <c r="Y36" i="53" s="1"/>
  <c r="D44" i="53"/>
  <c r="AV33" i="54"/>
  <c r="AT49" i="54"/>
  <c r="K51" i="59"/>
  <c r="E44" i="53"/>
  <c r="AV49" i="54"/>
  <c r="AY49" i="54"/>
  <c r="Y7" i="53"/>
  <c r="X24" i="53"/>
  <c r="X8" i="53"/>
  <c r="X29" i="53"/>
  <c r="BP40" i="54"/>
  <c r="E50" i="54"/>
  <c r="BE38" i="54"/>
  <c r="BL38" i="54" s="1"/>
  <c r="G50" i="54"/>
  <c r="BH38" i="54"/>
  <c r="BO38" i="54" s="1"/>
  <c r="J50" i="54"/>
  <c r="BI34" i="54"/>
  <c r="BP34" i="54" s="1"/>
  <c r="O12" i="60" s="1"/>
  <c r="AR18" i="54"/>
  <c r="AZ39" i="54"/>
  <c r="AX33" i="54"/>
  <c r="AX49" i="54"/>
  <c r="BM39" i="54"/>
  <c r="L16" i="60" s="1"/>
  <c r="BJ39" i="54"/>
  <c r="BJ36" i="54"/>
  <c r="AT33" i="54"/>
  <c r="BJ40" i="54"/>
  <c r="BM40" i="54"/>
  <c r="BQ36" i="54"/>
  <c r="AS10" i="54"/>
  <c r="BJ37" i="54"/>
  <c r="BN40" i="54"/>
  <c r="AY20" i="54"/>
  <c r="BI20" i="54" s="1"/>
  <c r="BP20" i="54" s="1"/>
  <c r="AU13" i="54"/>
  <c r="BE13" i="54" s="1"/>
  <c r="BL13" i="54" s="1"/>
  <c r="AP15" i="54"/>
  <c r="AP11" i="54"/>
  <c r="AX24" i="54"/>
  <c r="BH24" i="54" s="1"/>
  <c r="AU20" i="54"/>
  <c r="BE20" i="54" s="1"/>
  <c r="AX23" i="54"/>
  <c r="BH23" i="54" s="1"/>
  <c r="BO23" i="54" s="1"/>
  <c r="AY23" i="54"/>
  <c r="BI23" i="54" s="1"/>
  <c r="BP23" i="54" s="1"/>
  <c r="BF26" i="54"/>
  <c r="BM26" i="54" s="1"/>
  <c r="AW5" i="54"/>
  <c r="BG6" i="54"/>
  <c r="BN6" i="54" s="1"/>
  <c r="AU23" i="54"/>
  <c r="BE23" i="54" s="1"/>
  <c r="BL23" i="54" s="1"/>
  <c r="BG9" i="54"/>
  <c r="BN9" i="54" s="1"/>
  <c r="AU7" i="54"/>
  <c r="BE7" i="54" s="1"/>
  <c r="BL7" i="54" s="1"/>
  <c r="BH9" i="54"/>
  <c r="BO9" i="54" s="1"/>
  <c r="AV7" i="54"/>
  <c r="AV5" i="54" s="1"/>
  <c r="AP13" i="54"/>
  <c r="AW12" i="54"/>
  <c r="AK43" i="54"/>
  <c r="AU11" i="54"/>
  <c r="BE11" i="54" s="1"/>
  <c r="BL11" i="54" s="1"/>
  <c r="AP6" i="54"/>
  <c r="BH26" i="54"/>
  <c r="BO26" i="54" s="1"/>
  <c r="AX8" i="54"/>
  <c r="BH8" i="54" s="1"/>
  <c r="BO8" i="54" s="1"/>
  <c r="AV25" i="54"/>
  <c r="BF25" i="54" s="1"/>
  <c r="BN33" i="52"/>
  <c r="BN19" i="54"/>
  <c r="BL30" i="54"/>
  <c r="BE27" i="54"/>
  <c r="BL27" i="54" s="1"/>
  <c r="K11" i="60" s="1"/>
  <c r="BB28" i="54"/>
  <c r="AS28" i="54"/>
  <c r="AS27" i="54" s="1"/>
  <c r="AR30" i="54"/>
  <c r="BB30" i="54" s="1"/>
  <c r="BB45" i="54" s="1"/>
  <c r="BB10" i="54"/>
  <c r="BB18" i="54"/>
  <c r="AW30" i="54"/>
  <c r="BG30" i="54" s="1"/>
  <c r="BN30" i="54" s="1"/>
  <c r="AP20" i="54"/>
  <c r="BF34" i="54"/>
  <c r="BM34" i="54" s="1"/>
  <c r="L12" i="60" s="1"/>
  <c r="AR34" i="54"/>
  <c r="AP28" i="54"/>
  <c r="AR23" i="54"/>
  <c r="BB23" i="54" s="1"/>
  <c r="AS24" i="54"/>
  <c r="BC24" i="54" s="1"/>
  <c r="BI27" i="54"/>
  <c r="BP27" i="54" s="1"/>
  <c r="O11" i="60" s="1"/>
  <c r="X30" i="53"/>
  <c r="BI21" i="54"/>
  <c r="BP21" i="54" s="1"/>
  <c r="AP16" i="54"/>
  <c r="AU27" i="54"/>
  <c r="BD18" i="54"/>
  <c r="AZ34" i="54"/>
  <c r="AP34" i="54"/>
  <c r="BF32" i="54"/>
  <c r="AP32" i="54"/>
  <c r="BH31" i="54"/>
  <c r="BO31" i="54" s="1"/>
  <c r="BQ31" i="54" s="1"/>
  <c r="AT28" i="54"/>
  <c r="K17" i="60"/>
  <c r="P17" i="60" s="1"/>
  <c r="BQ37" i="54"/>
  <c r="AH43" i="54"/>
  <c r="AX27" i="54"/>
  <c r="AW20" i="54"/>
  <c r="AU6" i="54"/>
  <c r="AR10" i="54"/>
  <c r="AR6" i="54"/>
  <c r="BH34" i="54"/>
  <c r="BO34" i="54" s="1"/>
  <c r="N12" i="60" s="1"/>
  <c r="AW49" i="54"/>
  <c r="AS20" i="54"/>
  <c r="BC20" i="54" s="1"/>
  <c r="Y20" i="53"/>
  <c r="AP29" i="54"/>
  <c r="AU25" i="54"/>
  <c r="BE25" i="54" s="1"/>
  <c r="BL25" i="54" s="1"/>
  <c r="AX21" i="54"/>
  <c r="BH21" i="54" s="1"/>
  <c r="BO21" i="54" s="1"/>
  <c r="F43" i="53"/>
  <c r="F44" i="53" s="1"/>
  <c r="AP17" i="54"/>
  <c r="BF17" i="54"/>
  <c r="BM17" i="54" s="1"/>
  <c r="X14" i="53"/>
  <c r="Y26" i="53"/>
  <c r="Y35" i="53" s="1"/>
  <c r="BC16" i="54"/>
  <c r="BC14" i="54" s="1"/>
  <c r="BI26" i="54"/>
  <c r="BP26" i="54" s="1"/>
  <c r="AW24" i="54"/>
  <c r="BG24" i="54" s="1"/>
  <c r="BN24" i="54" s="1"/>
  <c r="AH44" i="54"/>
  <c r="AX25" i="54"/>
  <c r="AY24" i="54"/>
  <c r="BI24" i="54" s="1"/>
  <c r="AN43" i="54"/>
  <c r="BO17" i="54"/>
  <c r="BE16" i="54"/>
  <c r="BL16" i="54" s="1"/>
  <c r="AR24" i="54"/>
  <c r="AT14" i="54"/>
  <c r="AW14" i="54"/>
  <c r="AZ15" i="54"/>
  <c r="K57" i="19"/>
  <c r="K58" i="19" s="1"/>
  <c r="BG14" i="52"/>
  <c r="AU14" i="54"/>
  <c r="BF15" i="54"/>
  <c r="H57" i="19"/>
  <c r="H58" i="19" s="1"/>
  <c r="BG33" i="52"/>
  <c r="AS14" i="54"/>
  <c r="BL15" i="54"/>
  <c r="AY14" i="54"/>
  <c r="BI33" i="52"/>
  <c r="AX14" i="54"/>
  <c r="BS33" i="52"/>
  <c r="BG15" i="54"/>
  <c r="BN15" i="54" s="1"/>
  <c r="AV14" i="54"/>
  <c r="BD14" i="54"/>
  <c r="BS11" i="52"/>
  <c r="BS14" i="52" s="1"/>
  <c r="BI14" i="52"/>
  <c r="BM9" i="52"/>
  <c r="BM18" i="52"/>
  <c r="BM33" i="52" s="1"/>
  <c r="BC33" i="52"/>
  <c r="BD9" i="52"/>
  <c r="BC31" i="52"/>
  <c r="BN6" i="52"/>
  <c r="BP6" i="54"/>
  <c r="BP12" i="54"/>
  <c r="BP28" i="54"/>
  <c r="BQ28" i="54" s="1"/>
  <c r="BI14" i="54"/>
  <c r="BP14" i="54" s="1"/>
  <c r="O7" i="60" s="1"/>
  <c r="O39" i="60" s="1"/>
  <c r="BQ14" i="52"/>
  <c r="BR8" i="52"/>
  <c r="BR9" i="52" s="1"/>
  <c r="BG31" i="52"/>
  <c r="BH18" i="52"/>
  <c r="BH33" i="52" s="1"/>
  <c r="BH11" i="54"/>
  <c r="BH14" i="52"/>
  <c r="BO11" i="52"/>
  <c r="BE18" i="52"/>
  <c r="BP35" i="54"/>
  <c r="O13" i="60" s="1"/>
  <c r="BM16" i="52"/>
  <c r="AZ28" i="54"/>
  <c r="BR14" i="52"/>
  <c r="BH20" i="54"/>
  <c r="BI16" i="52"/>
  <c r="BI6" i="52"/>
  <c r="BC35" i="54"/>
  <c r="AS49" i="54"/>
  <c r="AS33" i="54"/>
  <c r="BJ28" i="54"/>
  <c r="BJ11" i="52"/>
  <c r="BC28" i="54"/>
  <c r="BC27" i="54" s="1"/>
  <c r="BN16" i="52"/>
  <c r="BN19" i="52" s="1"/>
  <c r="BT7" i="52"/>
  <c r="BJ13" i="54"/>
  <c r="BI19" i="54"/>
  <c r="AY27" i="54"/>
  <c r="BR32" i="52"/>
  <c r="BQ18" i="52"/>
  <c r="BQ33" i="52" s="1"/>
  <c r="BG19" i="52"/>
  <c r="BG32" i="52"/>
  <c r="BG9" i="52"/>
  <c r="BG16" i="54"/>
  <c r="AZ16" i="54"/>
  <c r="BP31" i="52"/>
  <c r="BF19" i="54"/>
  <c r="BF18" i="52"/>
  <c r="BP18" i="52" s="1"/>
  <c r="BE6" i="52"/>
  <c r="BE16" i="52"/>
  <c r="BE12" i="54"/>
  <c r="BJ34" i="52"/>
  <c r="BD12" i="54"/>
  <c r="BQ21" i="52"/>
  <c r="BC11" i="54"/>
  <c r="BC21" i="54"/>
  <c r="BC18" i="54" s="1"/>
  <c r="BB21" i="52"/>
  <c r="BD32" i="52"/>
  <c r="BN7" i="52"/>
  <c r="BN32" i="52" s="1"/>
  <c r="AT18" i="54"/>
  <c r="K12" i="60"/>
  <c r="BB14" i="54"/>
  <c r="BT22" i="52"/>
  <c r="AS5" i="54"/>
  <c r="BC7" i="54"/>
  <c r="BM35" i="54"/>
  <c r="AU33" i="54"/>
  <c r="BE35" i="54"/>
  <c r="AU49" i="54"/>
  <c r="AZ35" i="54"/>
  <c r="BF8" i="54"/>
  <c r="BF17" i="52"/>
  <c r="BF12" i="52"/>
  <c r="BF14" i="52" s="1"/>
  <c r="BD24" i="54"/>
  <c r="BM14" i="52"/>
  <c r="AR14" i="54"/>
  <c r="BB14" i="52"/>
  <c r="BL11" i="52"/>
  <c r="BL14" i="52" s="1"/>
  <c r="BJ21" i="52"/>
  <c r="BJ26" i="52" s="1"/>
  <c r="BN22" i="52"/>
  <c r="BN26" i="52" s="1"/>
  <c r="BN34" i="52" s="1"/>
  <c r="BD26" i="52"/>
  <c r="BD34" i="52" s="1"/>
  <c r="BG34" i="54"/>
  <c r="AW33" i="54"/>
  <c r="BM6" i="54"/>
  <c r="BB7" i="52"/>
  <c r="BB9" i="52" s="1"/>
  <c r="P16" i="20"/>
  <c r="L16" i="20"/>
  <c r="M16" i="20" s="1"/>
  <c r="O34" i="60"/>
  <c r="O20" i="60" s="1"/>
  <c r="K34" i="60"/>
  <c r="K20" i="60" s="1"/>
  <c r="P31" i="60"/>
  <c r="T33" i="23"/>
  <c r="P41" i="23"/>
  <c r="H18" i="20"/>
  <c r="G9" i="57" s="1"/>
  <c r="N31" i="60"/>
  <c r="T38" i="23"/>
  <c r="T37" i="23"/>
  <c r="M34" i="60"/>
  <c r="M20" i="60" s="1"/>
  <c r="J18" i="20"/>
  <c r="J19" i="20" s="1"/>
  <c r="T36" i="23"/>
  <c r="I18" i="20"/>
  <c r="H9" i="57" s="1"/>
  <c r="H11" i="57" s="1"/>
  <c r="H12" i="57" s="1"/>
  <c r="G18" i="20"/>
  <c r="O41" i="23"/>
  <c r="G19" i="20" s="1"/>
  <c r="G52" i="59"/>
  <c r="K41" i="59"/>
  <c r="J42" i="59"/>
  <c r="F41" i="59"/>
  <c r="F42" i="59" s="1"/>
  <c r="I32" i="59"/>
  <c r="J32" i="59"/>
  <c r="K21" i="59"/>
  <c r="K52" i="59" s="1"/>
  <c r="G22" i="59"/>
  <c r="G42" i="59"/>
  <c r="J22" i="59"/>
  <c r="I20" i="59"/>
  <c r="J12" i="59"/>
  <c r="E9" i="57"/>
  <c r="F19" i="20"/>
  <c r="K19" i="20"/>
  <c r="O15" i="20"/>
  <c r="O18" i="20" s="1"/>
  <c r="I9" i="57"/>
  <c r="J19" i="57"/>
  <c r="J21" i="57" s="1"/>
  <c r="J22" i="57" s="1"/>
  <c r="J11" i="57"/>
  <c r="J12" i="57" s="1"/>
  <c r="L18" i="20"/>
  <c r="M15" i="20"/>
  <c r="F9" i="57"/>
  <c r="M40" i="26"/>
  <c r="K41" i="26"/>
  <c r="M41" i="26" s="1"/>
  <c r="BF7" i="54" l="1"/>
  <c r="AY18" i="54"/>
  <c r="P16" i="60"/>
  <c r="BQ13" i="54"/>
  <c r="F51" i="59"/>
  <c r="F52" i="59" s="1"/>
  <c r="D22" i="59"/>
  <c r="G11" i="41"/>
  <c r="G25" i="41" s="1"/>
  <c r="E22" i="59"/>
  <c r="H11" i="41"/>
  <c r="H25" i="41" s="1"/>
  <c r="BW45" i="40"/>
  <c r="E52" i="59"/>
  <c r="CU16" i="5"/>
  <c r="CU37" i="5" s="1"/>
  <c r="CU38" i="5" s="1"/>
  <c r="BE37" i="5"/>
  <c r="CR16" i="5"/>
  <c r="CR37" i="5" s="1"/>
  <c r="CR38" i="5" s="1"/>
  <c r="AM37" i="5"/>
  <c r="DC16" i="5"/>
  <c r="DA16" i="5"/>
  <c r="D52" i="59"/>
  <c r="D37" i="53"/>
  <c r="D48" i="53" s="1"/>
  <c r="D49" i="53" s="1"/>
  <c r="X33" i="53"/>
  <c r="F37" i="53"/>
  <c r="F48" i="53" s="1"/>
  <c r="F51" i="53" s="1"/>
  <c r="AS17" i="5"/>
  <c r="CS17" i="5" s="1"/>
  <c r="DK38" i="11"/>
  <c r="DK39" i="11" s="1"/>
  <c r="BH38" i="11"/>
  <c r="BB38" i="11"/>
  <c r="AS16" i="5"/>
  <c r="AG17" i="5"/>
  <c r="CQ17" i="5" s="1"/>
  <c r="CL38" i="11"/>
  <c r="DA17" i="5"/>
  <c r="DB17" i="5" s="1"/>
  <c r="DM38" i="11"/>
  <c r="DM39" i="11" s="1"/>
  <c r="DC17" i="5"/>
  <c r="DD17" i="5" s="1"/>
  <c r="H19" i="57"/>
  <c r="H21" i="57" s="1"/>
  <c r="H22" i="57" s="1"/>
  <c r="Q12" i="20"/>
  <c r="Q10" i="20"/>
  <c r="R7" i="20"/>
  <c r="Q11" i="20"/>
  <c r="Q16" i="20"/>
  <c r="Q14" i="20"/>
  <c r="Q13" i="20"/>
  <c r="Q9" i="20"/>
  <c r="J18" i="56"/>
  <c r="G18" i="56"/>
  <c r="BQ45" i="40"/>
  <c r="CW42" i="40"/>
  <c r="D11" i="57"/>
  <c r="D12" i="57" s="1"/>
  <c r="D19" i="57"/>
  <c r="D21" i="57" s="1"/>
  <c r="D22" i="57" s="1"/>
  <c r="I19" i="20"/>
  <c r="H18" i="56"/>
  <c r="K14" i="56"/>
  <c r="F18" i="56"/>
  <c r="K17" i="56"/>
  <c r="I18" i="56"/>
  <c r="DG38" i="11"/>
  <c r="DG39" i="11" s="1"/>
  <c r="K16" i="56"/>
  <c r="E18" i="56"/>
  <c r="P15" i="20"/>
  <c r="P18" i="20" s="1"/>
  <c r="Y33" i="53"/>
  <c r="CW38" i="8"/>
  <c r="CV38" i="8"/>
  <c r="CR38" i="8"/>
  <c r="CS38" i="8"/>
  <c r="CV45" i="40"/>
  <c r="I37" i="52"/>
  <c r="I42" i="52" s="1"/>
  <c r="CT45" i="40"/>
  <c r="G37" i="52"/>
  <c r="E25" i="53"/>
  <c r="CR45" i="40"/>
  <c r="E37" i="52"/>
  <c r="E42" i="52" s="1"/>
  <c r="CX45" i="40"/>
  <c r="K37" i="52"/>
  <c r="K42" i="52" s="1"/>
  <c r="X34" i="53"/>
  <c r="AT29" i="52"/>
  <c r="AU29" i="52"/>
  <c r="AK29" i="52"/>
  <c r="AL29" i="52"/>
  <c r="AV29" i="52"/>
  <c r="E47" i="54"/>
  <c r="BM19" i="52"/>
  <c r="BG28" i="52"/>
  <c r="BG29" i="52" s="1"/>
  <c r="AR45" i="54"/>
  <c r="BB27" i="54"/>
  <c r="D50" i="54"/>
  <c r="BQ30" i="54"/>
  <c r="D47" i="54"/>
  <c r="BF33" i="54"/>
  <c r="BM33" i="54" s="1"/>
  <c r="X35" i="53"/>
  <c r="G47" i="54"/>
  <c r="AU43" i="54"/>
  <c r="AH46" i="54"/>
  <c r="AZ49" i="54"/>
  <c r="BQ39" i="54"/>
  <c r="AZ33" i="54"/>
  <c r="BJ17" i="54"/>
  <c r="BG5" i="54"/>
  <c r="BN5" i="54" s="1"/>
  <c r="BQ40" i="54"/>
  <c r="AZ13" i="54"/>
  <c r="BE10" i="54"/>
  <c r="BJ30" i="54"/>
  <c r="BH33" i="54"/>
  <c r="BO33" i="54" s="1"/>
  <c r="AZ30" i="54"/>
  <c r="AX22" i="54"/>
  <c r="AL44" i="54"/>
  <c r="AP14" i="54"/>
  <c r="BH16" i="54"/>
  <c r="BJ16" i="54" s="1"/>
  <c r="AL49" i="54"/>
  <c r="AY11" i="54"/>
  <c r="AY43" i="54" s="1"/>
  <c r="AU10" i="54"/>
  <c r="J49" i="53"/>
  <c r="AN49" i="54"/>
  <c r="AN45" i="54"/>
  <c r="AP24" i="54"/>
  <c r="AO44" i="54"/>
  <c r="AO43" i="54"/>
  <c r="AX6" i="54"/>
  <c r="AZ6" i="54" s="1"/>
  <c r="AP23" i="54"/>
  <c r="BG12" i="54"/>
  <c r="AW10" i="54"/>
  <c r="BQ17" i="54"/>
  <c r="I47" i="54"/>
  <c r="AP12" i="54"/>
  <c r="AV12" i="54"/>
  <c r="AS44" i="54"/>
  <c r="BH27" i="54"/>
  <c r="BO27" i="54" s="1"/>
  <c r="AP25" i="54"/>
  <c r="BI9" i="54"/>
  <c r="AO49" i="54"/>
  <c r="AM45" i="54"/>
  <c r="AW25" i="54"/>
  <c r="AJ44" i="54"/>
  <c r="AT7" i="54"/>
  <c r="F50" i="54"/>
  <c r="AP8" i="54"/>
  <c r="AU8" i="54"/>
  <c r="AU5" i="54" s="1"/>
  <c r="AK45" i="54"/>
  <c r="AK49" i="54"/>
  <c r="BE26" i="54"/>
  <c r="BE49" i="54" s="1"/>
  <c r="AP26" i="54"/>
  <c r="AT11" i="54"/>
  <c r="AR27" i="54"/>
  <c r="AI44" i="54"/>
  <c r="K47" i="54"/>
  <c r="AR5" i="54"/>
  <c r="BB6" i="54"/>
  <c r="BG20" i="54"/>
  <c r="BJ20" i="54" s="1"/>
  <c r="AW18" i="54"/>
  <c r="AP7" i="54"/>
  <c r="AY7" i="54"/>
  <c r="BH49" i="54"/>
  <c r="BO49" i="54"/>
  <c r="AZ20" i="54"/>
  <c r="BE14" i="54"/>
  <c r="BL14" i="54" s="1"/>
  <c r="K7" i="60" s="1"/>
  <c r="K39" i="60" s="1"/>
  <c r="AS23" i="54"/>
  <c r="AI43" i="54"/>
  <c r="AV24" i="54"/>
  <c r="AK44" i="54"/>
  <c r="AP27" i="54"/>
  <c r="AV29" i="54"/>
  <c r="AW29" i="54"/>
  <c r="AP9" i="54"/>
  <c r="BJ31" i="54"/>
  <c r="AT13" i="54"/>
  <c r="AJ45" i="54"/>
  <c r="AX19" i="54"/>
  <c r="AP19" i="54"/>
  <c r="AP21" i="54"/>
  <c r="AP18" i="54"/>
  <c r="AU21" i="54"/>
  <c r="BM32" i="54"/>
  <c r="BQ32" i="54" s="1"/>
  <c r="BJ32" i="54"/>
  <c r="BF49" i="54"/>
  <c r="AS18" i="54"/>
  <c r="AR43" i="54"/>
  <c r="AN44" i="54"/>
  <c r="AX12" i="54"/>
  <c r="BB38" i="54"/>
  <c r="AH49" i="54"/>
  <c r="AH51" i="54" s="1"/>
  <c r="AM44" i="54"/>
  <c r="BE6" i="54"/>
  <c r="BD28" i="54"/>
  <c r="BD27" i="54" s="1"/>
  <c r="AT27" i="54"/>
  <c r="AV21" i="54"/>
  <c r="AL45" i="54"/>
  <c r="AR49" i="54"/>
  <c r="BB34" i="54"/>
  <c r="AR33" i="54"/>
  <c r="BG26" i="54"/>
  <c r="BN26" i="54" s="1"/>
  <c r="AM49" i="54"/>
  <c r="AO45" i="54"/>
  <c r="AY25" i="54"/>
  <c r="AY22" i="54" s="1"/>
  <c r="AW23" i="54"/>
  <c r="AM43" i="54"/>
  <c r="BH25" i="54"/>
  <c r="BH22" i="54" s="1"/>
  <c r="BO22" i="54" s="1"/>
  <c r="N9" i="60" s="1"/>
  <c r="N38" i="60" s="1"/>
  <c r="AX45" i="54"/>
  <c r="BB24" i="54"/>
  <c r="BB44" i="54" s="1"/>
  <c r="AR44" i="54"/>
  <c r="AT23" i="54"/>
  <c r="AJ43" i="54"/>
  <c r="AR22" i="54"/>
  <c r="AS25" i="54"/>
  <c r="AI45" i="54"/>
  <c r="AI46" i="54" s="1"/>
  <c r="AI51" i="54" s="1"/>
  <c r="K49" i="53"/>
  <c r="AZ14" i="54"/>
  <c r="N57" i="19"/>
  <c r="N58" i="19" s="1"/>
  <c r="O57" i="19"/>
  <c r="O58" i="19" s="1"/>
  <c r="M57" i="19"/>
  <c r="M58" i="19" s="1"/>
  <c r="J57" i="19"/>
  <c r="J58" i="19" s="1"/>
  <c r="BM15" i="54"/>
  <c r="BQ15" i="54" s="1"/>
  <c r="BF14" i="54"/>
  <c r="BM14" i="54" s="1"/>
  <c r="L7" i="60" s="1"/>
  <c r="L39" i="60" s="1"/>
  <c r="I57" i="19"/>
  <c r="I58" i="19" s="1"/>
  <c r="BJ15" i="54"/>
  <c r="BE31" i="52"/>
  <c r="BO6" i="52"/>
  <c r="BJ6" i="52"/>
  <c r="BE9" i="52"/>
  <c r="BI9" i="52"/>
  <c r="BI31" i="52"/>
  <c r="BS6" i="52"/>
  <c r="BM25" i="54"/>
  <c r="BO24" i="54"/>
  <c r="BO11" i="54"/>
  <c r="BF32" i="52"/>
  <c r="BJ32" i="52" s="1"/>
  <c r="BL12" i="54"/>
  <c r="BM19" i="54"/>
  <c r="BS16" i="52"/>
  <c r="BS19" i="52" s="1"/>
  <c r="BI19" i="52"/>
  <c r="BE33" i="52"/>
  <c r="BO8" i="52"/>
  <c r="BJ8" i="52"/>
  <c r="BH19" i="52"/>
  <c r="BH28" i="52" s="1"/>
  <c r="BH29" i="52" s="1"/>
  <c r="BR18" i="52"/>
  <c r="BR19" i="52" s="1"/>
  <c r="BR33" i="52"/>
  <c r="BN9" i="52"/>
  <c r="BN28" i="52" s="1"/>
  <c r="BN31" i="52"/>
  <c r="BL31" i="52"/>
  <c r="BM31" i="52"/>
  <c r="BM8" i="54"/>
  <c r="BQ26" i="52"/>
  <c r="BQ34" i="52" s="1"/>
  <c r="BT34" i="52" s="1"/>
  <c r="BT21" i="52"/>
  <c r="BT26" i="52" s="1"/>
  <c r="BL10" i="54"/>
  <c r="BO13" i="52"/>
  <c r="BT13" i="52" s="1"/>
  <c r="BJ13" i="52"/>
  <c r="BJ12" i="52"/>
  <c r="BP12" i="52"/>
  <c r="BC44" i="54"/>
  <c r="BC5" i="54"/>
  <c r="BC10" i="54"/>
  <c r="BL20" i="54"/>
  <c r="BG14" i="54"/>
  <c r="BN16" i="54"/>
  <c r="BP24" i="54"/>
  <c r="BF5" i="54"/>
  <c r="BM5" i="54" s="1"/>
  <c r="BM7" i="54"/>
  <c r="BO20" i="54"/>
  <c r="BT11" i="52"/>
  <c r="BM28" i="52"/>
  <c r="BL7" i="52"/>
  <c r="BB32" i="52"/>
  <c r="BN34" i="54"/>
  <c r="BJ34" i="54"/>
  <c r="BG33" i="54"/>
  <c r="BN33" i="54" s="1"/>
  <c r="BP17" i="52"/>
  <c r="BF19" i="52"/>
  <c r="BJ17" i="52"/>
  <c r="BE33" i="54"/>
  <c r="BL35" i="54"/>
  <c r="BJ35" i="54"/>
  <c r="L13" i="60"/>
  <c r="BB26" i="52"/>
  <c r="BB34" i="52" s="1"/>
  <c r="BL21" i="52"/>
  <c r="BL26" i="52" s="1"/>
  <c r="BL34" i="52" s="1"/>
  <c r="BO16" i="52"/>
  <c r="BE19" i="52"/>
  <c r="BJ16" i="52"/>
  <c r="BF33" i="52"/>
  <c r="BP8" i="52"/>
  <c r="BF9" i="52"/>
  <c r="BF28" i="52" s="1"/>
  <c r="BF29" i="52" s="1"/>
  <c r="BR28" i="52"/>
  <c r="R18" i="23" s="1"/>
  <c r="BI18" i="54"/>
  <c r="BP18" i="54" s="1"/>
  <c r="O8" i="60" s="1"/>
  <c r="BP19" i="54"/>
  <c r="BC49" i="54"/>
  <c r="BC33" i="54"/>
  <c r="BO18" i="52"/>
  <c r="BT18" i="52" s="1"/>
  <c r="BJ18" i="52"/>
  <c r="BE14" i="52"/>
  <c r="BQ28" i="52"/>
  <c r="Q18" i="23" s="1"/>
  <c r="BD28" i="52"/>
  <c r="BQ19" i="52"/>
  <c r="P34" i="60"/>
  <c r="Q34" i="60" s="1"/>
  <c r="H19" i="20"/>
  <c r="T41" i="23"/>
  <c r="L19" i="20" s="1"/>
  <c r="N34" i="60"/>
  <c r="N20" i="60" s="1"/>
  <c r="I42" i="59"/>
  <c r="I22" i="59"/>
  <c r="K42" i="59"/>
  <c r="K22" i="59"/>
  <c r="E19" i="57"/>
  <c r="E21" i="57" s="1"/>
  <c r="E22" i="57" s="1"/>
  <c r="E11" i="57"/>
  <c r="E12" i="57" s="1"/>
  <c r="F11" i="57"/>
  <c r="F12" i="57" s="1"/>
  <c r="F19" i="57"/>
  <c r="F21" i="57" s="1"/>
  <c r="F22" i="57" s="1"/>
  <c r="I19" i="57"/>
  <c r="I21" i="57" s="1"/>
  <c r="I22" i="57" s="1"/>
  <c r="I11" i="57"/>
  <c r="I12" i="57" s="1"/>
  <c r="G11" i="57"/>
  <c r="G12" i="57" s="1"/>
  <c r="G19" i="57"/>
  <c r="G21" i="57" s="1"/>
  <c r="G22" i="57" s="1"/>
  <c r="CS16" i="5" l="1"/>
  <c r="AS37" i="5"/>
  <c r="DB16" i="5"/>
  <c r="DB37" i="5" s="1"/>
  <c r="DA37" i="5"/>
  <c r="DD16" i="5"/>
  <c r="DD37" i="5" s="1"/>
  <c r="DC37" i="5"/>
  <c r="D51" i="53"/>
  <c r="F49" i="53"/>
  <c r="X37" i="53"/>
  <c r="K18" i="56"/>
  <c r="Q15" i="20"/>
  <c r="Q18" i="20" s="1"/>
  <c r="J37" i="52"/>
  <c r="J42" i="52" s="1"/>
  <c r="CW45" i="40"/>
  <c r="S7" i="20"/>
  <c r="R14" i="20"/>
  <c r="R12" i="20"/>
  <c r="R11" i="20"/>
  <c r="R13" i="20"/>
  <c r="R9" i="20"/>
  <c r="R10" i="20"/>
  <c r="R16" i="20"/>
  <c r="CQ38" i="8"/>
  <c r="D37" i="52"/>
  <c r="D42" i="52" s="1"/>
  <c r="CU38" i="8"/>
  <c r="H37" i="52"/>
  <c r="H42" i="52" s="1"/>
  <c r="E34" i="53"/>
  <c r="E37" i="53" s="1"/>
  <c r="E48" i="53" s="1"/>
  <c r="Y25" i="53"/>
  <c r="Y34" i="53" s="1"/>
  <c r="Y37" i="53" s="1"/>
  <c r="G42" i="52"/>
  <c r="AW29" i="52"/>
  <c r="AM29" i="52"/>
  <c r="BO14" i="52"/>
  <c r="AJ46" i="54"/>
  <c r="BM49" i="54"/>
  <c r="AN46" i="54"/>
  <c r="J47" i="54"/>
  <c r="AK46" i="54"/>
  <c r="AK51" i="54" s="1"/>
  <c r="BI11" i="54"/>
  <c r="AY10" i="54"/>
  <c r="AP45" i="54"/>
  <c r="AN51" i="54"/>
  <c r="BO16" i="54"/>
  <c r="BQ16" i="54" s="1"/>
  <c r="BH14" i="54"/>
  <c r="BO14" i="54" s="1"/>
  <c r="N7" i="60" s="1"/>
  <c r="N39" i="60" s="1"/>
  <c r="G49" i="53"/>
  <c r="AU24" i="54"/>
  <c r="AU44" i="54" s="1"/>
  <c r="AZ11" i="54"/>
  <c r="AV23" i="54"/>
  <c r="AZ23" i="54" s="1"/>
  <c r="AL43" i="54"/>
  <c r="AP43" i="54" s="1"/>
  <c r="AP46" i="54" s="1"/>
  <c r="AP51" i="54" s="1"/>
  <c r="AO46" i="54"/>
  <c r="AO51" i="54" s="1"/>
  <c r="AP49" i="54"/>
  <c r="BN12" i="54"/>
  <c r="BG10" i="54"/>
  <c r="BN10" i="54" s="1"/>
  <c r="M6" i="60" s="1"/>
  <c r="M37" i="60" s="1"/>
  <c r="BH6" i="54"/>
  <c r="BJ6" i="54" s="1"/>
  <c r="AX5" i="54"/>
  <c r="AR46" i="54"/>
  <c r="AR51" i="54" s="1"/>
  <c r="BE21" i="54"/>
  <c r="AZ21" i="54"/>
  <c r="AU18" i="54"/>
  <c r="BD13" i="54"/>
  <c r="BD45" i="54" s="1"/>
  <c r="AT45" i="54"/>
  <c r="BF24" i="54"/>
  <c r="AV22" i="54"/>
  <c r="BC23" i="54"/>
  <c r="BC43" i="54" s="1"/>
  <c r="AS43" i="54"/>
  <c r="AT5" i="54"/>
  <c r="BD7" i="54"/>
  <c r="AT44" i="54"/>
  <c r="BG49" i="54"/>
  <c r="BB22" i="54"/>
  <c r="AP44" i="54"/>
  <c r="BH19" i="54"/>
  <c r="AZ19" i="54"/>
  <c r="AX18" i="54"/>
  <c r="AX43" i="54"/>
  <c r="BG29" i="54"/>
  <c r="AW27" i="54"/>
  <c r="BE24" i="54"/>
  <c r="BI38" i="54"/>
  <c r="AP33" i="54"/>
  <c r="AP38" i="54"/>
  <c r="BN20" i="54"/>
  <c r="BQ20" i="54" s="1"/>
  <c r="BG18" i="54"/>
  <c r="BN18" i="54" s="1"/>
  <c r="M8" i="60" s="1"/>
  <c r="BP9" i="54"/>
  <c r="BQ9" i="54" s="1"/>
  <c r="BJ9" i="54"/>
  <c r="AV45" i="54"/>
  <c r="BF21" i="54"/>
  <c r="AV18" i="54"/>
  <c r="K50" i="54"/>
  <c r="L50" i="54"/>
  <c r="H47" i="54"/>
  <c r="AV10" i="54"/>
  <c r="BF12" i="54"/>
  <c r="AZ12" i="54"/>
  <c r="AV44" i="54"/>
  <c r="AP22" i="54"/>
  <c r="L49" i="53" s="1"/>
  <c r="BB33" i="54"/>
  <c r="BB49" i="54"/>
  <c r="BI7" i="54"/>
  <c r="AZ7" i="54"/>
  <c r="AY5" i="54"/>
  <c r="AZ5" i="54" s="1"/>
  <c r="AY44" i="54"/>
  <c r="BB5" i="54"/>
  <c r="BB43" i="54"/>
  <c r="BB46" i="54" s="1"/>
  <c r="BD11" i="54"/>
  <c r="AT10" i="54"/>
  <c r="AP5" i="54"/>
  <c r="BG25" i="54"/>
  <c r="AW45" i="54"/>
  <c r="AP10" i="54"/>
  <c r="I49" i="53"/>
  <c r="BL6" i="54"/>
  <c r="BE43" i="54"/>
  <c r="BH12" i="54"/>
  <c r="AX10" i="54"/>
  <c r="AX44" i="54"/>
  <c r="BF29" i="54"/>
  <c r="AZ29" i="54"/>
  <c r="AV27" i="54"/>
  <c r="F47" i="54"/>
  <c r="BL26" i="54"/>
  <c r="BQ26" i="54" s="1"/>
  <c r="BJ26" i="54"/>
  <c r="AZ8" i="54"/>
  <c r="BE8" i="54"/>
  <c r="BE5" i="54" s="1"/>
  <c r="AU45" i="54"/>
  <c r="BD38" i="54"/>
  <c r="AJ49" i="54"/>
  <c r="H49" i="53"/>
  <c r="AW44" i="54"/>
  <c r="BC25" i="54"/>
  <c r="AS22" i="54"/>
  <c r="AS45" i="54"/>
  <c r="BO25" i="54"/>
  <c r="BO45" i="54" s="1"/>
  <c r="BH45" i="54"/>
  <c r="AM46" i="54"/>
  <c r="AM51" i="54" s="1"/>
  <c r="BI25" i="54"/>
  <c r="AZ25" i="54"/>
  <c r="AY45" i="54"/>
  <c r="AW22" i="54"/>
  <c r="BG23" i="54"/>
  <c r="AW43" i="54"/>
  <c r="BD23" i="54"/>
  <c r="AT43" i="54"/>
  <c r="AT22" i="54"/>
  <c r="L57" i="19"/>
  <c r="L58" i="19" s="1"/>
  <c r="BJ14" i="52"/>
  <c r="BS31" i="52"/>
  <c r="BS9" i="52"/>
  <c r="BS28" i="52" s="1"/>
  <c r="S18" i="23" s="1"/>
  <c r="BJ9" i="52"/>
  <c r="BJ19" i="52"/>
  <c r="M12" i="60"/>
  <c r="P12" i="60" s="1"/>
  <c r="BN49" i="54"/>
  <c r="BQ34" i="54"/>
  <c r="BO33" i="52"/>
  <c r="BT8" i="52"/>
  <c r="BO31" i="52"/>
  <c r="BT31" i="52" s="1"/>
  <c r="BO9" i="52"/>
  <c r="BT6" i="52"/>
  <c r="BN14" i="54"/>
  <c r="BQ35" i="54"/>
  <c r="K13" i="60"/>
  <c r="P13" i="60" s="1"/>
  <c r="BT17" i="52"/>
  <c r="BP19" i="52"/>
  <c r="N11" i="60"/>
  <c r="BJ33" i="52"/>
  <c r="BI28" i="52"/>
  <c r="BI29" i="52" s="1"/>
  <c r="BJ31" i="52"/>
  <c r="BB28" i="52"/>
  <c r="BL32" i="52"/>
  <c r="BL9" i="52"/>
  <c r="BL28" i="52" s="1"/>
  <c r="BP9" i="52"/>
  <c r="BP33" i="52"/>
  <c r="BO19" i="52"/>
  <c r="BT16" i="52"/>
  <c r="BT19" i="52" s="1"/>
  <c r="BL33" i="54"/>
  <c r="BT14" i="52"/>
  <c r="BP32" i="52"/>
  <c r="BT32" i="52" s="1"/>
  <c r="BT12" i="52"/>
  <c r="BP14" i="52"/>
  <c r="BE28" i="52"/>
  <c r="P20" i="60"/>
  <c r="AJ51" i="54" l="1"/>
  <c r="AU22" i="54"/>
  <c r="CS37" i="5"/>
  <c r="CS38" i="5" s="1"/>
  <c r="F37" i="52"/>
  <c r="F42" i="52" s="1"/>
  <c r="S11" i="20"/>
  <c r="S13" i="20"/>
  <c r="S9" i="20"/>
  <c r="S10" i="20"/>
  <c r="S14" i="20"/>
  <c r="S12" i="20"/>
  <c r="S16" i="20"/>
  <c r="R15" i="20"/>
  <c r="R18" i="20" s="1"/>
  <c r="L37" i="52"/>
  <c r="L42" i="52" s="1"/>
  <c r="E51" i="53"/>
  <c r="E49" i="53"/>
  <c r="AN29" i="52"/>
  <c r="AX29" i="52"/>
  <c r="AZ24" i="54"/>
  <c r="BJ14" i="54"/>
  <c r="BD10" i="54"/>
  <c r="AZ27" i="54"/>
  <c r="BB51" i="54"/>
  <c r="BL49" i="54"/>
  <c r="AS46" i="54"/>
  <c r="AS51" i="54" s="1"/>
  <c r="AT46" i="54"/>
  <c r="AT51" i="54" s="1"/>
  <c r="AL46" i="54"/>
  <c r="AL51" i="54" s="1"/>
  <c r="BP11" i="54"/>
  <c r="BI10" i="54"/>
  <c r="BP10" i="54" s="1"/>
  <c r="BI43" i="54"/>
  <c r="BJ11" i="54"/>
  <c r="BO6" i="54"/>
  <c r="BH5" i="54"/>
  <c r="BO5" i="54" s="1"/>
  <c r="BF23" i="54"/>
  <c r="BF22" i="54" s="1"/>
  <c r="BM22" i="54" s="1"/>
  <c r="L9" i="60" s="1"/>
  <c r="L38" i="60" s="1"/>
  <c r="AV43" i="54"/>
  <c r="AV46" i="54" s="1"/>
  <c r="AV51" i="54" s="1"/>
  <c r="AV52" i="54" s="1"/>
  <c r="BL24" i="54"/>
  <c r="BE44" i="54"/>
  <c r="BE22" i="54"/>
  <c r="BL22" i="54" s="1"/>
  <c r="K9" i="60" s="1"/>
  <c r="K38" i="60" s="1"/>
  <c r="BJ24" i="54"/>
  <c r="AZ18" i="54"/>
  <c r="BD33" i="54"/>
  <c r="BD49" i="54"/>
  <c r="L47" i="54"/>
  <c r="AZ10" i="54"/>
  <c r="BM24" i="54"/>
  <c r="BL5" i="54"/>
  <c r="BP38" i="54"/>
  <c r="BI49" i="54"/>
  <c r="BJ49" i="54" s="1"/>
  <c r="BI33" i="54"/>
  <c r="BJ38" i="54"/>
  <c r="AZ22" i="54"/>
  <c r="BG27" i="54"/>
  <c r="BN27" i="54" s="1"/>
  <c r="M11" i="60" s="1"/>
  <c r="BN29" i="54"/>
  <c r="BG44" i="54"/>
  <c r="BO19" i="54"/>
  <c r="BJ19" i="54"/>
  <c r="BH43" i="54"/>
  <c r="BH18" i="54"/>
  <c r="BO18" i="54" s="1"/>
  <c r="N8" i="60" s="1"/>
  <c r="BL21" i="54"/>
  <c r="BE18" i="54"/>
  <c r="BJ21" i="54"/>
  <c r="BM29" i="54"/>
  <c r="BJ29" i="54"/>
  <c r="BF27" i="54"/>
  <c r="BP7" i="54"/>
  <c r="BI5" i="54"/>
  <c r="BP5" i="54" s="1"/>
  <c r="BJ7" i="54"/>
  <c r="BI44" i="54"/>
  <c r="BM12" i="54"/>
  <c r="BF10" i="54"/>
  <c r="BF44" i="54"/>
  <c r="BJ12" i="54"/>
  <c r="BF45" i="54"/>
  <c r="BF18" i="54"/>
  <c r="BM18" i="54" s="1"/>
  <c r="L8" i="60" s="1"/>
  <c r="BM21" i="54"/>
  <c r="BL8" i="54"/>
  <c r="BE45" i="54"/>
  <c r="BJ8" i="54"/>
  <c r="BO12" i="54"/>
  <c r="BO44" i="54" s="1"/>
  <c r="BH44" i="54"/>
  <c r="BH10" i="54"/>
  <c r="BO10" i="54" s="1"/>
  <c r="BQ6" i="54"/>
  <c r="BL43" i="54"/>
  <c r="BN25" i="54"/>
  <c r="BN45" i="54" s="1"/>
  <c r="BG45" i="54"/>
  <c r="AZ44" i="54"/>
  <c r="AU46" i="54"/>
  <c r="AU51" i="54" s="1"/>
  <c r="AU52" i="54" s="1"/>
  <c r="AX46" i="54"/>
  <c r="AX51" i="54" s="1"/>
  <c r="AX52" i="54" s="1"/>
  <c r="BD5" i="54"/>
  <c r="BD44" i="54"/>
  <c r="BP25" i="54"/>
  <c r="BI45" i="54"/>
  <c r="BJ25" i="54"/>
  <c r="BI22" i="54"/>
  <c r="BP22" i="54" s="1"/>
  <c r="O9" i="60" s="1"/>
  <c r="AW46" i="54"/>
  <c r="AW51" i="54" s="1"/>
  <c r="AW52" i="54" s="1"/>
  <c r="BC22" i="54"/>
  <c r="BC45" i="54"/>
  <c r="BC46" i="54" s="1"/>
  <c r="BC51" i="54" s="1"/>
  <c r="AZ45" i="54"/>
  <c r="AY46" i="54"/>
  <c r="AY51" i="54" s="1"/>
  <c r="AY52" i="54" s="1"/>
  <c r="BD43" i="54"/>
  <c r="BD22" i="54"/>
  <c r="BG22" i="54"/>
  <c r="BN23" i="54"/>
  <c r="BG43" i="54"/>
  <c r="BP28" i="52"/>
  <c r="P18" i="23" s="1"/>
  <c r="BE29" i="52"/>
  <c r="BJ28" i="52"/>
  <c r="BT9" i="52"/>
  <c r="BT33" i="52"/>
  <c r="BQ14" i="54"/>
  <c r="M7" i="60"/>
  <c r="BO28" i="52"/>
  <c r="S15" i="20" l="1"/>
  <c r="S18" i="20" s="1"/>
  <c r="AZ29" i="52"/>
  <c r="AY29" i="52"/>
  <c r="AO29" i="52"/>
  <c r="AZ43" i="54"/>
  <c r="AZ46" i="54" s="1"/>
  <c r="AZ51" i="54" s="1"/>
  <c r="O6" i="60"/>
  <c r="O37" i="60" s="1"/>
  <c r="N6" i="60"/>
  <c r="BJ23" i="54"/>
  <c r="BP43" i="54"/>
  <c r="BQ11" i="54"/>
  <c r="BJ5" i="54"/>
  <c r="BM23" i="54"/>
  <c r="BM43" i="54" s="1"/>
  <c r="BF43" i="54"/>
  <c r="BJ43" i="54" s="1"/>
  <c r="BE46" i="54"/>
  <c r="BE51" i="54" s="1"/>
  <c r="BD46" i="54"/>
  <c r="BD51" i="54" s="1"/>
  <c r="BQ12" i="54"/>
  <c r="BM44" i="54"/>
  <c r="BQ7" i="54"/>
  <c r="BP44" i="54"/>
  <c r="BQ29" i="54"/>
  <c r="BN44" i="54"/>
  <c r="BM27" i="54"/>
  <c r="BJ27" i="54"/>
  <c r="BL18" i="54"/>
  <c r="BJ18" i="54"/>
  <c r="BP33" i="54"/>
  <c r="BQ33" i="54" s="1"/>
  <c r="BJ33" i="54"/>
  <c r="K6" i="60"/>
  <c r="BQ5" i="54"/>
  <c r="BL45" i="54"/>
  <c r="BQ8" i="54"/>
  <c r="BH46" i="54"/>
  <c r="BH51" i="54" s="1"/>
  <c r="BQ21" i="54"/>
  <c r="BM45" i="54"/>
  <c r="BQ19" i="54"/>
  <c r="BO43" i="54"/>
  <c r="BO46" i="54" s="1"/>
  <c r="BJ44" i="54"/>
  <c r="N18" i="60"/>
  <c r="N22" i="60" s="1"/>
  <c r="N37" i="60"/>
  <c r="BM10" i="54"/>
  <c r="BJ10" i="54"/>
  <c r="BP49" i="54"/>
  <c r="BQ49" i="54" s="1"/>
  <c r="BQ38" i="54"/>
  <c r="BL44" i="54"/>
  <c r="BQ24" i="54"/>
  <c r="BN43" i="54"/>
  <c r="O38" i="60"/>
  <c r="O18" i="60"/>
  <c r="O22" i="60" s="1"/>
  <c r="BN22" i="54"/>
  <c r="BJ22" i="54"/>
  <c r="BI46" i="54"/>
  <c r="BI51" i="54" s="1"/>
  <c r="BJ45" i="54"/>
  <c r="BG46" i="54"/>
  <c r="BG51" i="54" s="1"/>
  <c r="BP45" i="54"/>
  <c r="BQ25" i="54"/>
  <c r="BT28" i="52"/>
  <c r="O18" i="23"/>
  <c r="P7" i="60"/>
  <c r="P39" i="60" s="1"/>
  <c r="M39" i="60"/>
  <c r="BQ23" i="54" l="1"/>
  <c r="BF46" i="54"/>
  <c r="BF51" i="54" s="1"/>
  <c r="L11" i="60"/>
  <c r="P11" i="60" s="1"/>
  <c r="BQ27" i="54"/>
  <c r="BL46" i="54"/>
  <c r="BQ44" i="54"/>
  <c r="BQ10" i="54"/>
  <c r="L6" i="60"/>
  <c r="P6" i="60" s="1"/>
  <c r="P37" i="60" s="1"/>
  <c r="BM46" i="54"/>
  <c r="BO47" i="54"/>
  <c r="BO51" i="54"/>
  <c r="N19" i="60" s="1"/>
  <c r="K37" i="60"/>
  <c r="BQ18" i="54"/>
  <c r="K8" i="60"/>
  <c r="P8" i="60" s="1"/>
  <c r="BP46" i="54"/>
  <c r="BQ45" i="54"/>
  <c r="BJ46" i="54"/>
  <c r="BJ51" i="54" s="1"/>
  <c r="M9" i="60"/>
  <c r="BQ22" i="54"/>
  <c r="BN46" i="54"/>
  <c r="BQ43" i="54"/>
  <c r="BM47" i="54" l="1"/>
  <c r="BM51" i="54"/>
  <c r="BL51" i="54"/>
  <c r="BL47" i="54"/>
  <c r="L37" i="60"/>
  <c r="L18" i="60"/>
  <c r="L22" i="60" s="1"/>
  <c r="K18" i="60"/>
  <c r="BQ46" i="54"/>
  <c r="M38" i="60"/>
  <c r="P9" i="60"/>
  <c r="M18" i="60"/>
  <c r="BN47" i="54"/>
  <c r="BN51" i="54"/>
  <c r="BP51" i="54"/>
  <c r="O19" i="60" s="1"/>
  <c r="BP47" i="54"/>
  <c r="K22" i="60" l="1"/>
  <c r="K19" i="60"/>
  <c r="L19" i="60"/>
  <c r="M22" i="60"/>
  <c r="M19" i="60"/>
  <c r="P38" i="60"/>
  <c r="P18" i="60"/>
  <c r="BQ51" i="54"/>
  <c r="BQ52" i="54" s="1"/>
  <c r="Q18" i="60" l="1"/>
  <c r="P22" i="60"/>
  <c r="P19" i="60"/>
  <c r="P23" i="60" l="1"/>
  <c r="P24" i="60" s="1"/>
  <c r="Q22" i="6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C20" authorId="0" shapeId="0" xr:uid="{00000000-0006-0000-0300-000001000000}">
      <text>
        <r>
          <rPr>
            <b/>
            <sz val="9"/>
            <color indexed="81"/>
            <rFont val="Tahoma"/>
            <family val="2"/>
          </rPr>
          <t>AST:</t>
        </r>
        <r>
          <rPr>
            <sz val="9"/>
            <color indexed="81"/>
            <rFont val="Tahoma"/>
            <family val="2"/>
          </rPr>
          <t xml:space="preserve">
Average of Transformers &amp; Switchgear categories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E18" authorId="0" shapeId="0" xr:uid="{00000000-0006-0000-0F00-000001000000}">
      <text>
        <r>
          <rPr>
            <b/>
            <sz val="9"/>
            <color indexed="81"/>
            <rFont val="Tahoma"/>
            <family val="2"/>
          </rPr>
          <t>AST:</t>
        </r>
        <r>
          <rPr>
            <sz val="9"/>
            <color indexed="81"/>
            <rFont val="Tahoma"/>
            <family val="2"/>
          </rPr>
          <t xml:space="preserve">
installing fall arrest systems on subtn towers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BB14" authorId="0" shapeId="0" xr:uid="{58F2206F-62E0-4EF2-8519-0C74C5844F9E}">
      <text>
        <r>
          <rPr>
            <b/>
            <sz val="9"/>
            <color indexed="81"/>
            <rFont val="Tahoma"/>
            <family val="2"/>
          </rPr>
          <t>ASD:</t>
        </r>
        <r>
          <rPr>
            <sz val="9"/>
            <color indexed="81"/>
            <rFont val="Tahoma"/>
            <family val="2"/>
          </rPr>
          <t xml:space="preserve">
Note: No labour escalation is applied to capitalised lease inputs which are sourced from our lease forecast model ('ASD - IR019 - Leasee Lease Accounting Model SCS_CONFIDENTIAL')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B48" authorId="0" shapeId="0" xr:uid="{ACF2DE4E-4E27-4DA4-A02F-EECB2C19C2FA}">
      <text>
        <r>
          <rPr>
            <b/>
            <sz val="9"/>
            <color indexed="81"/>
            <rFont val="Tahoma"/>
            <family val="2"/>
          </rPr>
          <t>AST:</t>
        </r>
        <r>
          <rPr>
            <sz val="9"/>
            <color indexed="81"/>
            <rFont val="Tahoma"/>
            <family val="2"/>
          </rPr>
          <t xml:space="preserve">
For overheads allocaiton purposes Gifted assets are excluded from the direct cost base.</t>
        </r>
      </text>
    </comment>
  </commentList>
</comments>
</file>

<file path=xl/sharedStrings.xml><?xml version="1.0" encoding="utf-8"?>
<sst xmlns="http://schemas.openxmlformats.org/spreadsheetml/2006/main" count="3360" uniqueCount="797">
  <si>
    <t>Outputs</t>
  </si>
  <si>
    <t>Stations</t>
  </si>
  <si>
    <t>Lines</t>
  </si>
  <si>
    <t>Protection, Control &amp; Automation</t>
  </si>
  <si>
    <t>ICT Infrastructure Capex</t>
  </si>
  <si>
    <t>Other</t>
  </si>
  <si>
    <t>Table of Contents</t>
  </si>
  <si>
    <t>Key Assumptions</t>
  </si>
  <si>
    <t>This model only contains information relating to Standard Control Services Capex.  Alternative Control Services are excluded</t>
  </si>
  <si>
    <t>Inputs Section</t>
  </si>
  <si>
    <t>Augmentation</t>
  </si>
  <si>
    <t>Major Rebuilds</t>
  </si>
  <si>
    <t>SCADA &amp; Comms</t>
  </si>
  <si>
    <t>Enviro, Safety &amp; Legal Capex</t>
  </si>
  <si>
    <t>Other Non Network</t>
  </si>
  <si>
    <t>1. Assumptions</t>
  </si>
  <si>
    <t>a.</t>
  </si>
  <si>
    <t>b.</t>
  </si>
  <si>
    <t>c.</t>
  </si>
  <si>
    <t>d.</t>
  </si>
  <si>
    <t>e.</t>
  </si>
  <si>
    <t>Reporting Categories</t>
  </si>
  <si>
    <t>Lookup Tables</t>
  </si>
  <si>
    <t>Project Ref</t>
  </si>
  <si>
    <t>Description</t>
  </si>
  <si>
    <t>Augmentation Capex</t>
  </si>
  <si>
    <t>Customer Connections</t>
  </si>
  <si>
    <t>ICT Infrastructure</t>
  </si>
  <si>
    <t>EDPR RIN Template Outputs</t>
  </si>
  <si>
    <t>2.1 EXPENDITURE SUMMARY &amp; RECONCILIATION</t>
  </si>
  <si>
    <t>TABLE 2.1.1 - STANDARD CONTROL SERVICES CAPEX</t>
  </si>
  <si>
    <t>Replacement expenditure</t>
  </si>
  <si>
    <t>Connections</t>
  </si>
  <si>
    <t>Augmentation Expenditure</t>
  </si>
  <si>
    <t>Non-network</t>
  </si>
  <si>
    <t>Capitalised network overheads</t>
  </si>
  <si>
    <t>Capitalised corporate overheads</t>
  </si>
  <si>
    <t>TOTAL GROSS CAPEX 
(includes capcons)</t>
  </si>
  <si>
    <t>capcons</t>
  </si>
  <si>
    <t>2.1 Expenditure Summary</t>
  </si>
  <si>
    <t>2.6 Non-Network</t>
  </si>
  <si>
    <t>f.</t>
  </si>
  <si>
    <t>Applies to year</t>
  </si>
  <si>
    <t>ASSET CATEGORY</t>
  </si>
  <si>
    <t>Subtransmission</t>
  </si>
  <si>
    <t>Distribution system assets</t>
  </si>
  <si>
    <t>Standard metering</t>
  </si>
  <si>
    <t>Public lighting</t>
  </si>
  <si>
    <t>SCADA/Network control</t>
  </si>
  <si>
    <t>Non-network general assets - IT</t>
  </si>
  <si>
    <t>Non-network general assets - Other</t>
  </si>
  <si>
    <t>Demand related capital expenditure</t>
  </si>
  <si>
    <t>Replacement expenditure (Group 1)</t>
  </si>
  <si>
    <t>Replacement expenditure (Group 2)</t>
  </si>
  <si>
    <t>Replacement expenditure (Group 3)</t>
  </si>
  <si>
    <t>Environment, safety &amp; legal</t>
  </si>
  <si>
    <t>Standard metering (Group 1)</t>
  </si>
  <si>
    <t>Standard metering (Group 2)</t>
  </si>
  <si>
    <t>Safety</t>
  </si>
  <si>
    <t>On</t>
  </si>
  <si>
    <t>Off</t>
  </si>
  <si>
    <t>Reinforcement</t>
  </si>
  <si>
    <t>RQ Maintained</t>
  </si>
  <si>
    <t>RQ Improved</t>
  </si>
  <si>
    <t>ESL</t>
  </si>
  <si>
    <t>SCADA</t>
  </si>
  <si>
    <t>IT Capex</t>
  </si>
  <si>
    <t>Other Non-system</t>
  </si>
  <si>
    <t>System</t>
  </si>
  <si>
    <t>Non-System</t>
  </si>
  <si>
    <t>TAB Categories - PTRM / RFM</t>
  </si>
  <si>
    <t>Category</t>
  </si>
  <si>
    <t>Class</t>
  </si>
  <si>
    <t>Customer Contributions</t>
  </si>
  <si>
    <t>VBRC Capex (direct costs only)</t>
  </si>
  <si>
    <t>Cap Cons</t>
  </si>
  <si>
    <t>RAB Category</t>
  </si>
  <si>
    <t>TAB Category</t>
  </si>
  <si>
    <t>RAB Categories - PTRM / RFM</t>
  </si>
  <si>
    <t>P50 Direct $000's</t>
  </si>
  <si>
    <t>Replacement Capex</t>
  </si>
  <si>
    <t>Non Network Capex</t>
  </si>
  <si>
    <t>Replace roofs, doors, windows &amp; doors</t>
  </si>
  <si>
    <t>Renew roads, drains and other</t>
  </si>
  <si>
    <t>Switchboards</t>
  </si>
  <si>
    <t>NERs &amp; NEDs</t>
  </si>
  <si>
    <t>Surge arresters</t>
  </si>
  <si>
    <t>HV switches, earth switches &amp; isolators</t>
  </si>
  <si>
    <t>Customer Capex (Gross)</t>
  </si>
  <si>
    <t>Contributions</t>
  </si>
  <si>
    <t>Crossarms - HV</t>
  </si>
  <si>
    <t>Crossarms - LV</t>
  </si>
  <si>
    <t>Crossarms - Subtransmission</t>
  </si>
  <si>
    <t>Cables</t>
  </si>
  <si>
    <t>Services</t>
  </si>
  <si>
    <t>Line voltage regulators</t>
  </si>
  <si>
    <t>ZSS - AVE VRR replacement program</t>
  </si>
  <si>
    <t>ZSS - MD1000 RTU replacement program (Stage 2) (15 sites)</t>
  </si>
  <si>
    <t>Program</t>
  </si>
  <si>
    <t>Substation Protection</t>
  </si>
  <si>
    <t>Voltage Regulation</t>
  </si>
  <si>
    <t>Secondary Infrastructure</t>
  </si>
  <si>
    <t>Poles</t>
  </si>
  <si>
    <t>Crossarms</t>
  </si>
  <si>
    <t>Conductor</t>
  </si>
  <si>
    <t>Switches &amp; Other</t>
  </si>
  <si>
    <t>Civil Infrastructure</t>
  </si>
  <si>
    <t>Zone substation major replacement projects</t>
  </si>
  <si>
    <t>Distribution substations &amp; LV</t>
  </si>
  <si>
    <t>Total Network Capex (Gross)</t>
  </si>
  <si>
    <t>Total Network Capex (Net)</t>
  </si>
  <si>
    <t>Grand Total (Net)</t>
  </si>
  <si>
    <t>Network Comms</t>
  </si>
  <si>
    <t>Replacement of buildings due to asbestos</t>
  </si>
  <si>
    <t>Replace battery rooms due to asbestos</t>
  </si>
  <si>
    <t>Full environmental upgrade incl bund</t>
  </si>
  <si>
    <t>Upgrade oil control controls</t>
  </si>
  <si>
    <t>Line voltage regulator fence replacement</t>
  </si>
  <si>
    <t>Ground type distribution sub fence replacement</t>
  </si>
  <si>
    <t>Infrastructure Security</t>
  </si>
  <si>
    <t>Vibration Dampers &amp; Armour Rods</t>
  </si>
  <si>
    <t>Overhang Removals</t>
  </si>
  <si>
    <t>EDO fuses</t>
  </si>
  <si>
    <t>Line clearance</t>
  </si>
  <si>
    <t>Animal / Bird Proofing</t>
  </si>
  <si>
    <t>Fall arrest systems</t>
  </si>
  <si>
    <t>Safety clearances in distribution substations (ground type, indoor type and kiosk)</t>
  </si>
  <si>
    <t>SWER Earths</t>
  </si>
  <si>
    <t>Environmental</t>
  </si>
  <si>
    <t>Govt. Funded Programs</t>
  </si>
  <si>
    <t>Repex - 50% Grp 2, 50% Grp 3</t>
  </si>
  <si>
    <t>Repex - 75% Grp 2, 25% Grp 3</t>
  </si>
  <si>
    <t>SCADA &amp; Network Communications</t>
  </si>
  <si>
    <t>Check</t>
  </si>
  <si>
    <t>Total ESL Volume Based</t>
  </si>
  <si>
    <t>Total ESL Project based</t>
  </si>
  <si>
    <t>Total ESL</t>
  </si>
  <si>
    <t>Sum</t>
  </si>
  <si>
    <t>Customer Connections (Net)</t>
  </si>
  <si>
    <t>Customer Initiated</t>
  </si>
  <si>
    <t>SME</t>
  </si>
  <si>
    <t>Govt. Contribution</t>
  </si>
  <si>
    <t>Enviro, Safety &amp; Legal Capex (Net)</t>
  </si>
  <si>
    <t>Escalators</t>
  </si>
  <si>
    <t>RAB Categories</t>
  </si>
  <si>
    <t>(Excluding escalators)</t>
  </si>
  <si>
    <t>Total</t>
  </si>
  <si>
    <t>Checks - Inputs</t>
  </si>
  <si>
    <t>TAB Categories (stage 2)</t>
  </si>
  <si>
    <t>Base Forecast Summary - Direct Expenditure</t>
  </si>
  <si>
    <t>Replacement</t>
  </si>
  <si>
    <t>Non-Network Expenditure</t>
  </si>
  <si>
    <t>Subtransmission Substations, Switching Stations , Zone Substations</t>
  </si>
  <si>
    <t>Subtransmission Lines</t>
  </si>
  <si>
    <t>Distribution Substations</t>
  </si>
  <si>
    <t>Other Assets</t>
  </si>
  <si>
    <t>Pole Top Structures</t>
  </si>
  <si>
    <t>Overhead Conductors</t>
  </si>
  <si>
    <t>Underground Cables</t>
  </si>
  <si>
    <t>Service Lines</t>
  </si>
  <si>
    <t>Transformers</t>
  </si>
  <si>
    <t>Switchgear</t>
  </si>
  <si>
    <t>Motor Vehicles</t>
  </si>
  <si>
    <t>Buildings And Property</t>
  </si>
  <si>
    <t>HV Feeders</t>
  </si>
  <si>
    <t>LV Feeders</t>
  </si>
  <si>
    <t>IT and Communications</t>
  </si>
  <si>
    <t>Simple and Complex Customer Connections</t>
  </si>
  <si>
    <t>Labour &amp; Non-Labour Category Splits</t>
  </si>
  <si>
    <t>CPI Escalation</t>
  </si>
  <si>
    <t>Labour Escalation</t>
  </si>
  <si>
    <t>Material Escalation</t>
  </si>
  <si>
    <t>Labour Type</t>
  </si>
  <si>
    <t>Direct Material Cost</t>
  </si>
  <si>
    <t>Direct Labour Cost</t>
  </si>
  <si>
    <t>Other Cost</t>
  </si>
  <si>
    <t>Transformers &amp; Switchgear</t>
  </si>
  <si>
    <t>Activity Type</t>
  </si>
  <si>
    <t>Expenditure Type</t>
  </si>
  <si>
    <t>Material Composition</t>
  </si>
  <si>
    <t>Alum</t>
  </si>
  <si>
    <t>Copper</t>
  </si>
  <si>
    <t>Steel</t>
  </si>
  <si>
    <t>Crude Oil</t>
  </si>
  <si>
    <t>Labour &amp; Non Labour Splits</t>
  </si>
  <si>
    <t>Spare</t>
  </si>
  <si>
    <t>Zone Sub Transformers</t>
  </si>
  <si>
    <t>Distribution Transformers</t>
  </si>
  <si>
    <t>Distribution Regulators</t>
  </si>
  <si>
    <t>Pole Top Capacitors</t>
  </si>
  <si>
    <t>Poles replaced</t>
  </si>
  <si>
    <t>Staked Poles</t>
  </si>
  <si>
    <t>Conductors - Steel</t>
  </si>
  <si>
    <t>Conductors - Copper</t>
  </si>
  <si>
    <t>Insulators</t>
  </si>
  <si>
    <t>Services - Unplanned</t>
  </si>
  <si>
    <t>Services - Planned</t>
  </si>
  <si>
    <t>Underground cables (Projects)</t>
  </si>
  <si>
    <t>Dist. Regulators</t>
  </si>
  <si>
    <t>Pole top Switches (Incl Gas)</t>
  </si>
  <si>
    <t>ACRs 3ph</t>
  </si>
  <si>
    <t>OCR 1ph</t>
  </si>
  <si>
    <t>HV Fuses</t>
  </si>
  <si>
    <t>Surge Diverters</t>
  </si>
  <si>
    <t>Protection &amp; Control</t>
  </si>
  <si>
    <t>Internal labour real rate</t>
  </si>
  <si>
    <t>External labour real rate</t>
  </si>
  <si>
    <t>New 66kV lines (kms)</t>
  </si>
  <si>
    <t>Reconductored 66kV lines (kms)</t>
  </si>
  <si>
    <t>Buildings &amp; Civil infrastructure</t>
  </si>
  <si>
    <t>Program Type</t>
  </si>
  <si>
    <t>Material Escalation Index</t>
  </si>
  <si>
    <t>RIN Asset Category</t>
  </si>
  <si>
    <t xml:space="preserve">New Zone Substation </t>
  </si>
  <si>
    <t>66kv Feeders - HV</t>
  </si>
  <si>
    <t>Thermal Upgrade - 22kv LV Feeders</t>
  </si>
  <si>
    <t>Thermal Upgrade Voltage - 22kv LV Feeders</t>
  </si>
  <si>
    <t>2. Lookup Tables</t>
  </si>
  <si>
    <t>3.1. Augmentation Capex</t>
  </si>
  <si>
    <t>3.3. Replacement Capex</t>
  </si>
  <si>
    <t>3.4. Enviro, Safety &amp; Legal Capex</t>
  </si>
  <si>
    <t>5. Outputs</t>
  </si>
  <si>
    <t>5.1 EDPR submission outputs</t>
  </si>
  <si>
    <t>5.3 EDPR RIN outputs</t>
  </si>
  <si>
    <t>3. Inputs (Direct Costs, units &amp; unit rates)</t>
  </si>
  <si>
    <t>(for stage 1 aggregation)</t>
  </si>
  <si>
    <t>POLES</t>
  </si>
  <si>
    <t>POLE TOP STRUCTURES</t>
  </si>
  <si>
    <t>OVERHEAD CONDUCTORS</t>
  </si>
  <si>
    <t>UNDERGROUND CABLES</t>
  </si>
  <si>
    <t>SERVICE LINES</t>
  </si>
  <si>
    <t>TRANSFORMERS</t>
  </si>
  <si>
    <t>SWITCHGEAR</t>
  </si>
  <si>
    <t>PUBLIC LIGHTING</t>
  </si>
  <si>
    <t>OTHER</t>
  </si>
  <si>
    <t>MOTOR VEHICLES</t>
  </si>
  <si>
    <t>BUILDINGS AND PROPERTY</t>
  </si>
  <si>
    <t>Total Direct $000's</t>
  </si>
  <si>
    <t>Other 56M Undergrounding</t>
  </si>
  <si>
    <t>Communication Systems</t>
  </si>
  <si>
    <t>SCADA Remote</t>
  </si>
  <si>
    <t>Material Escalation Rate</t>
  </si>
  <si>
    <t>Circuit Breakers &amp; disconnectors 22 kV</t>
  </si>
  <si>
    <t>Circuit Breakers &amp; disconnectors  66kV</t>
  </si>
  <si>
    <t>Cap Cans</t>
  </si>
  <si>
    <t>NER</t>
  </si>
  <si>
    <t>Bird &amp; Animal proofing</t>
  </si>
  <si>
    <t>Instrument Transformers</t>
  </si>
  <si>
    <t>ZSS Major replacements</t>
  </si>
  <si>
    <t>RMUs (Kiosk Substations)</t>
  </si>
  <si>
    <t>Distribution Sub Transformers (Pole Top &amp; Kiosk upgrades)</t>
  </si>
  <si>
    <t>Dampers &amp; Armour Rods</t>
  </si>
  <si>
    <t>Fall Arrests</t>
  </si>
  <si>
    <t>Environmental, Safety &amp; Legal - Part A</t>
  </si>
  <si>
    <t>Environmental, Safety &amp; Legal - Part B</t>
  </si>
  <si>
    <t>Calculated 'Direct Labour Costs' includes both employee labour and internal labour hire contracts</t>
  </si>
  <si>
    <t>Instrument transformers - VTs</t>
  </si>
  <si>
    <t>Cap banks &amp; reactors</t>
  </si>
  <si>
    <t>Subtransmission poles - complex 147COM</t>
  </si>
  <si>
    <t>Subtransmission poles - simple 147SIM</t>
  </si>
  <si>
    <t>Distribution poles - HV complex 148HVC</t>
  </si>
  <si>
    <t>Distribution poles - HV simple 148HVS</t>
  </si>
  <si>
    <t>Distribution poles - LV 148LVP</t>
  </si>
  <si>
    <t>Distribution poles - street lights 148SIM</t>
  </si>
  <si>
    <t>Pole reinforcement 149FWK</t>
  </si>
  <si>
    <t>Conductor - AAC HV</t>
  </si>
  <si>
    <t>Conductor - ACSR HV</t>
  </si>
  <si>
    <t>Conductor - Steel</t>
  </si>
  <si>
    <t>Fuses</t>
  </si>
  <si>
    <t>Pole top capacitors</t>
  </si>
  <si>
    <t>Conductors - Alum</t>
  </si>
  <si>
    <t>Enhanced Prot &amp; control 1ph &amp; 3ph</t>
  </si>
  <si>
    <t>Conductors - ACSR</t>
  </si>
  <si>
    <t>Conductor - Routine HV &amp; LV (Subtr)</t>
  </si>
  <si>
    <t>Conductor - AAC HV (Subtr)</t>
  </si>
  <si>
    <t>Conductor - ACSR HV (Subtr)</t>
  </si>
  <si>
    <t xml:space="preserve">Completion of HV ABC program </t>
  </si>
  <si>
    <t>Conductor replacement - AAC</t>
  </si>
  <si>
    <t>Conductor replacement - ACSR</t>
  </si>
  <si>
    <t>Conductor replacement - Steel</t>
  </si>
  <si>
    <t>Company Owned Vehicles</t>
  </si>
  <si>
    <t>Property - General Equip &amp; Furniture</t>
  </si>
  <si>
    <t>Tools &amp; Test Equipment</t>
  </si>
  <si>
    <t>Network</t>
  </si>
  <si>
    <t>IT</t>
  </si>
  <si>
    <t>Actual</t>
  </si>
  <si>
    <t>Forecast</t>
  </si>
  <si>
    <t>Table 3.4.1 - Volume Based</t>
  </si>
  <si>
    <t>Table 3.4.2 - Project based</t>
  </si>
  <si>
    <t>Table 3.2.1 - Gross Expenditure</t>
  </si>
  <si>
    <t>Table 3.2.2 - Customer Contributions</t>
  </si>
  <si>
    <t>Total Gross Capex</t>
  </si>
  <si>
    <t>Customer Capex</t>
  </si>
  <si>
    <t>4. Aggregations &amp; Allocations</t>
  </si>
  <si>
    <t>Aggregations &amp; Allocations</t>
  </si>
  <si>
    <t>Millions</t>
  </si>
  <si>
    <t>Thousands</t>
  </si>
  <si>
    <t>Contracts Cost</t>
  </si>
  <si>
    <t>Reset RIN Categories</t>
  </si>
  <si>
    <t>ESC Categories</t>
  </si>
  <si>
    <t>Network overheads</t>
  </si>
  <si>
    <t>Corporate overheads</t>
  </si>
  <si>
    <t>(Including real cost escalators)</t>
  </si>
  <si>
    <t>(including real cost escalators, overheads and CPI)</t>
  </si>
  <si>
    <t>Actual / Historical</t>
  </si>
  <si>
    <t>Index - Nominal to $2014</t>
  </si>
  <si>
    <t>CPI movement - 8 Capital Cities</t>
  </si>
  <si>
    <t>Non Network Other</t>
  </si>
  <si>
    <t>2016-20</t>
  </si>
  <si>
    <t>Net Capex</t>
  </si>
  <si>
    <t>Table 3.4.3 - Government Funded Safety Programs</t>
  </si>
  <si>
    <t>Govt. Funded Safety Programs</t>
  </si>
  <si>
    <t>TABLE 2.17.2 - FORECAST CAPEX STEP CHANGES FOR STANDARD CONTROL SERVICES</t>
  </si>
  <si>
    <t>Current regulatory period</t>
  </si>
  <si>
    <t>Forthcoming regulatory period</t>
  </si>
  <si>
    <t>Step change</t>
  </si>
  <si>
    <t>2.17 Step Changes</t>
  </si>
  <si>
    <t>Escalated values --&gt;</t>
  </si>
  <si>
    <t>Replacement Volume Summary</t>
  </si>
  <si>
    <t>ABC component</t>
  </si>
  <si>
    <t>Assumed zero escalation for materials</t>
  </si>
  <si>
    <t>Net inflation</t>
  </si>
  <si>
    <t>RIN Expenditure Category</t>
  </si>
  <si>
    <t>SCADA network control and protection systems</t>
  </si>
  <si>
    <t>(Capex only)</t>
  </si>
  <si>
    <t>TABLE 2.6.1 NON-NETWORK EXPENDITURE</t>
  </si>
  <si>
    <t>SERVICE SUBCATEGORY</t>
  </si>
  <si>
    <t>ASSET REPORTING 
CATEGORY</t>
  </si>
  <si>
    <t>IT &amp; COMMUNICATIONS</t>
  </si>
  <si>
    <t>Client device expenditure</t>
  </si>
  <si>
    <t xml:space="preserve">Opex </t>
  </si>
  <si>
    <t xml:space="preserve">Capex </t>
  </si>
  <si>
    <t>Recurrent expenditure</t>
  </si>
  <si>
    <t>Non-recurrent expenditure</t>
  </si>
  <si>
    <t>Car</t>
  </si>
  <si>
    <t>Light commercial vehicle</t>
  </si>
  <si>
    <t xml:space="preserve">Elevated work platform (LCV)  </t>
  </si>
  <si>
    <t>Elevated work platform (HCV)</t>
  </si>
  <si>
    <t>Heavy commercial vehicle</t>
  </si>
  <si>
    <t>Total buildings and property expenditure</t>
  </si>
  <si>
    <t>Other expenditure</t>
  </si>
  <si>
    <t>RIN Expenditure Summary - Direct Expenditure</t>
  </si>
  <si>
    <t>3.2. Customer Connections (Not Used - See separate model)</t>
  </si>
  <si>
    <t>RIN Exp Categories</t>
  </si>
  <si>
    <t>Subtotal Replacement Capex</t>
  </si>
  <si>
    <t>RIN Expenditure Summary Categories</t>
  </si>
  <si>
    <t>5.4 Other outputs</t>
  </si>
  <si>
    <t>Other Outputs</t>
  </si>
  <si>
    <t>Repex Volumes Analysis</t>
  </si>
  <si>
    <t>Lines Replacement Program &amp; Customer Connections</t>
  </si>
  <si>
    <t>Low service/conductor</t>
  </si>
  <si>
    <t>Table 1 - CPI Indexes</t>
  </si>
  <si>
    <t>CPI - 8 cities - Sept (old base), 1yr lagged</t>
  </si>
  <si>
    <t>CPI - 8 cities - Sept (rebased in Sep-12), 1yr lagged</t>
  </si>
  <si>
    <t>(Direct costs Only)</t>
  </si>
  <si>
    <t>&lt;Spare&gt;</t>
  </si>
  <si>
    <t>Other &lt;spare&gt;</t>
  </si>
  <si>
    <t>Non Network Total</t>
  </si>
  <si>
    <t>OTHER - DNSP nominated</t>
  </si>
  <si>
    <t>Non Network Asset Category</t>
  </si>
  <si>
    <t>Non Network Asset SubCategory</t>
  </si>
  <si>
    <t>General furniture and equipment</t>
  </si>
  <si>
    <t>Other buildings and property</t>
  </si>
  <si>
    <t>Total Motor Veh</t>
  </si>
  <si>
    <t>AusNet Overhead allocations</t>
  </si>
  <si>
    <t>source: SPA Revised EDPR Capex Fcast Model 19 July 2010 (2011-15 EDPR), updated with new additional activity types</t>
  </si>
  <si>
    <t>Copper within ACSR below</t>
  </si>
  <si>
    <t>Total Network</t>
  </si>
  <si>
    <t>Current Reg Period</t>
  </si>
  <si>
    <t>Regulatory Period</t>
  </si>
  <si>
    <t>Next Regulatory Period</t>
  </si>
  <si>
    <t>First year of next period</t>
  </si>
  <si>
    <t>t-2 regulatory year</t>
  </si>
  <si>
    <t>t-1 regulatory year</t>
  </si>
  <si>
    <t>t-2</t>
  </si>
  <si>
    <t>t-1</t>
  </si>
  <si>
    <t>User Input</t>
  </si>
  <si>
    <t>Direct Unit cost ($2018, $000's)</t>
  </si>
  <si>
    <t>P50 Direct Cost Inputs - $000's, real $2018</t>
  </si>
  <si>
    <t>Total Direct Cost, including labour escalation - $000's, real $2018</t>
  </si>
  <si>
    <t>Refer to Connections Capex &amp; Contributions Forecast model</t>
  </si>
  <si>
    <t>Direct Labour Unit Cost ($2018)</t>
  </si>
  <si>
    <t>Direct Material Unit Cost ($2018)</t>
  </si>
  <si>
    <t>Direct Contracts Unit Cost ($2018)</t>
  </si>
  <si>
    <t>Direct Other Unit Cost ($2018)</t>
  </si>
  <si>
    <t>Number of Units Input</t>
  </si>
  <si>
    <t>P50 Direct Cost - $000's, real $2018</t>
  </si>
  <si>
    <t>CPI - $2018 to nominal</t>
  </si>
  <si>
    <t>$2018 to nominal</t>
  </si>
  <si>
    <t>Downer Cost Allocation ($2018) - Lines Portion Only</t>
  </si>
  <si>
    <t>Downer Cost Allocation ($2018) - Customer Portion Only</t>
  </si>
  <si>
    <t>Downer Cost Allocation ($2018) - Total</t>
  </si>
  <si>
    <t>Downer Contract inflation</t>
  </si>
  <si>
    <t>Nominal</t>
  </si>
  <si>
    <t>Gross Capex ($m)</t>
  </si>
  <si>
    <t>Customer Contributions ($m)</t>
  </si>
  <si>
    <t>Net Capex Excluding Disposals ($m)</t>
  </si>
  <si>
    <t>Land</t>
  </si>
  <si>
    <t>Direct Expenditure ($2018) - Excluding Downer Contract Costs</t>
  </si>
  <si>
    <t>Demand driven Augmentation</t>
  </si>
  <si>
    <t>FY22</t>
  </si>
  <si>
    <t>FY23</t>
  </si>
  <si>
    <t>CY19</t>
  </si>
  <si>
    <t>CY20</t>
  </si>
  <si>
    <t>Grand Total (Gross)</t>
  </si>
  <si>
    <t>End 2020</t>
  </si>
  <si>
    <t>End $2020 to Nominal</t>
  </si>
  <si>
    <t>Index - Nominal to End $2020</t>
  </si>
  <si>
    <t>REFCL T3</t>
  </si>
  <si>
    <t>REFCL Program</t>
  </si>
  <si>
    <t>REFCL</t>
  </si>
  <si>
    <t>Subtransmission/Augmentation Expenditure</t>
  </si>
  <si>
    <t>Distribution system assets/Augmentation Expenditure</t>
  </si>
  <si>
    <t>Distribution system assets/Replacement expenditure</t>
  </si>
  <si>
    <t>SCADA/Network control/Augmentation Expenditure</t>
  </si>
  <si>
    <t>SCADA/Network control/Replacement expenditure</t>
  </si>
  <si>
    <t>Non-network general assets - Other/Non-network</t>
  </si>
  <si>
    <t>Central Region Feeders</t>
  </si>
  <si>
    <t>Power Quality Monitoring (Meter Installations)</t>
  </si>
  <si>
    <t>Hosting Capacity Development (DER)</t>
  </si>
  <si>
    <t xml:space="preserve">New CLN24 feeder </t>
  </si>
  <si>
    <t>New CLN31 Feeder</t>
  </si>
  <si>
    <t>Reconfigure feeders Ex-CRE</t>
  </si>
  <si>
    <t>Upgrade KLO14 feeder</t>
  </si>
  <si>
    <t>WOTS 22 kV Zone Sub Feeder Reconfiguration  </t>
  </si>
  <si>
    <t>Distribution Network</t>
  </si>
  <si>
    <t>Augex Project</t>
  </si>
  <si>
    <t>Augex Project (NEW)</t>
  </si>
  <si>
    <t>DER</t>
  </si>
  <si>
    <t>Augex Program</t>
  </si>
  <si>
    <t>Maffra Refurbishment</t>
  </si>
  <si>
    <t>Benalla Refurbishment</t>
  </si>
  <si>
    <t>Watsonia Refurbishment</t>
  </si>
  <si>
    <t>Thomastown Refurbishment</t>
  </si>
  <si>
    <t>New</t>
  </si>
  <si>
    <t>Newmeralla Refurbishment</t>
  </si>
  <si>
    <t>Traralgon Stage 2 Refurbishment</t>
  </si>
  <si>
    <t>Bayswater Refurbishment</t>
  </si>
  <si>
    <t>Warragul Refurbishment</t>
  </si>
  <si>
    <t>Security Enhancement</t>
  </si>
  <si>
    <t>Property - Land Acquisition</t>
  </si>
  <si>
    <t>Duplicate 22kV Bus Tie Protection at KLO and CPK</t>
  </si>
  <si>
    <t>DC Supplies Upgrade (2006 Install EOL)</t>
  </si>
  <si>
    <t>ZSS - non-AVE VRR replacement program</t>
  </si>
  <si>
    <t>Gov Funded</t>
  </si>
  <si>
    <t>66kV Circuit breakers</t>
  </si>
  <si>
    <t xml:space="preserve">22kV Circuit breakers </t>
  </si>
  <si>
    <t>66kV Surge arresters</t>
  </si>
  <si>
    <t xml:space="preserve">22 kV Surge Arresters </t>
  </si>
  <si>
    <t>Conductor - Cu HV</t>
  </si>
  <si>
    <t>Conductor replacement - Codified</t>
  </si>
  <si>
    <t>Codified Areas - Proactive insulation/undergrounding</t>
  </si>
  <si>
    <t>Augmentation - Demand related</t>
  </si>
  <si>
    <t>Non-Network Other</t>
  </si>
  <si>
    <t>Capex by Purpose</t>
  </si>
  <si>
    <t>$2015 to nominal</t>
  </si>
  <si>
    <t>Innovation</t>
  </si>
  <si>
    <t>Direct cost composition - New Connections ($2018)</t>
  </si>
  <si>
    <t>Repex / Augex</t>
  </si>
  <si>
    <t>Connections Only</t>
  </si>
  <si>
    <t>Augex</t>
  </si>
  <si>
    <t>Repex</t>
  </si>
  <si>
    <t>Total Overheads - $2018</t>
  </si>
  <si>
    <t>Connections - Gifted</t>
  </si>
  <si>
    <t>Augex / Repex</t>
  </si>
  <si>
    <t>LV Network Capacity and Voltage Management Program (formerly Distribution transformer Upgrades)</t>
  </si>
  <si>
    <t>NERs &amp; NEDs Health Monitoring</t>
  </si>
  <si>
    <t>Distribution subs - ground type</t>
  </si>
  <si>
    <t>Distribution subs - pole top</t>
  </si>
  <si>
    <t>Instrument transformers - CTs - 66kV</t>
  </si>
  <si>
    <t>Instrument transformers - CTs - 22kV</t>
  </si>
  <si>
    <t>Power Transformer Life Extension</t>
  </si>
  <si>
    <t>Power Transformer Risk Mitigation</t>
  </si>
  <si>
    <t>Circuit Breakers &amp; disconnectors</t>
  </si>
  <si>
    <t>Conductors - SWER</t>
  </si>
  <si>
    <t>Power Transformer Replacement 20MVA</t>
  </si>
  <si>
    <t>Power Transformer Replacement 5MVA</t>
  </si>
  <si>
    <t>BDSS - Replace Obsolete Protection Schemes on High Value Assets</t>
  </si>
  <si>
    <t>ZSS - Replace Obsolete 22kV Bus, BUEF and MEF Protection Schemes</t>
  </si>
  <si>
    <t>ZSS - Replace Obsolete and Non-Compliant 22kV Feeder Protection Schemes</t>
  </si>
  <si>
    <t xml:space="preserve">ZSS - Obsolete 66kV Bus Distance Relay replacement </t>
  </si>
  <si>
    <t>Network Overheads Allocation</t>
  </si>
  <si>
    <t>Subtotal</t>
  </si>
  <si>
    <t>Non-Network</t>
  </si>
  <si>
    <t>Control Totals</t>
  </si>
  <si>
    <t>Non-network IT</t>
  </si>
  <si>
    <t>Total Network Classes</t>
  </si>
  <si>
    <t>Grand Totals</t>
  </si>
  <si>
    <t>Safety (excl REFCLs)</t>
  </si>
  <si>
    <t>REFCL (excl Non-network)</t>
  </si>
  <si>
    <t>Capitalised Overheads, $2018</t>
  </si>
  <si>
    <t>Total Expenditure, $2018</t>
  </si>
  <si>
    <t>Safety Expenditure</t>
  </si>
  <si>
    <t>Direct Costs incl Labour escalation, $2018</t>
  </si>
  <si>
    <t>Downer Contractor support costs (previously known as "Tenix overheads") are treated as direct costs inputs in our annual regulatory accounts and are therefore included in forecast Direct expenditures in this model</t>
  </si>
  <si>
    <t>Augmentation - Non-Demand related</t>
  </si>
  <si>
    <t>Non Safety related</t>
  </si>
  <si>
    <t>Safety re-allocations</t>
  </si>
  <si>
    <t>Direct costs incl Labour escalation, $2018</t>
  </si>
  <si>
    <t>Non Network IT</t>
  </si>
  <si>
    <t>Labour escalation, $2018</t>
  </si>
  <si>
    <t>Total Direct Expenditure, $2018</t>
  </si>
  <si>
    <t>Total Non-Network</t>
  </si>
  <si>
    <t>Non-Network (excl REFCL)</t>
  </si>
  <si>
    <t>P50 Direct Expenditure excluding Labour escalation, $2018</t>
  </si>
  <si>
    <t>P50 Direct Expenditure including Labour escalation, $2018</t>
  </si>
  <si>
    <t>Capex by Driver</t>
  </si>
  <si>
    <t>Grand Total</t>
  </si>
  <si>
    <t>Downer Support Costs</t>
  </si>
  <si>
    <t>Overhead rates</t>
  </si>
  <si>
    <t>Connections - Cash Capex</t>
  </si>
  <si>
    <t>Network Capex subject to Overheads (incl Repex, Augex, Connections)</t>
  </si>
  <si>
    <t>For RIN Template population:-</t>
  </si>
  <si>
    <t>Regulatory Forecast Expenditure</t>
  </si>
  <si>
    <t>CPI - 8 cities - Jun Qtr, 1yr lagged</t>
  </si>
  <si>
    <t>Non Network Safety Capex</t>
  </si>
  <si>
    <t>REFCL program</t>
  </si>
  <si>
    <t>CNMS Lifecycle Management</t>
  </si>
  <si>
    <t>Mesh Lifecycle Management - App</t>
  </si>
  <si>
    <t>Mesh Lifecycle Management - Comms</t>
  </si>
  <si>
    <t>Non-network - Metering related IT</t>
  </si>
  <si>
    <t>SCADA &amp; Comms - Metering</t>
  </si>
  <si>
    <t>Metering related IT systems</t>
  </si>
  <si>
    <t>SCADA/Network Control</t>
  </si>
  <si>
    <t>Metering SCS</t>
  </si>
  <si>
    <t>IT systems</t>
  </si>
  <si>
    <t>3G to 4G Comms Upgrade</t>
  </si>
  <si>
    <t>Network / Non Network Asset Category</t>
  </si>
  <si>
    <t>g.</t>
  </si>
  <si>
    <t>End $2015 to Mid Year $2018</t>
  </si>
  <si>
    <t>Total Direct $000's, real $2018</t>
  </si>
  <si>
    <t>P50 Direct $000's, real $2018</t>
  </si>
  <si>
    <t>Internal labour index - applied to labour costs in $2018</t>
  </si>
  <si>
    <t>Internal labour index - applied to labour costs in $2015</t>
  </si>
  <si>
    <t>External labour index - applied to labour costs in $2018</t>
  </si>
  <si>
    <t>External labour index - applied to labour costs in $2015</t>
  </si>
  <si>
    <t>East Region Feeders</t>
  </si>
  <si>
    <t>Conductor - Reactive Replacement LV &amp; MV</t>
  </si>
  <si>
    <t>Conductor - SWER (Non Codified)</t>
  </si>
  <si>
    <t>Electrical Earths</t>
  </si>
  <si>
    <t>Subtransmission Protection</t>
  </si>
  <si>
    <t xml:space="preserve">ZSS - Obsolete 66kV Line Distance Relay replacement </t>
  </si>
  <si>
    <t xml:space="preserve">Distribution feeders </t>
  </si>
  <si>
    <t>End $2015 to End $2020</t>
  </si>
  <si>
    <t>Property - Buildings Acquisition &amp; depot upgrades</t>
  </si>
  <si>
    <t>P50 Direct incl labour escalation, $2018</t>
  </si>
  <si>
    <t>P50 Direct excl labour escalation, $2018</t>
  </si>
  <si>
    <t>Other - Metering Business Communications</t>
  </si>
  <si>
    <t>Other - Metering Comms Battery purchases</t>
  </si>
  <si>
    <t>Nominal Capex, $m</t>
  </si>
  <si>
    <t>CY16</t>
  </si>
  <si>
    <t>CY17</t>
  </si>
  <si>
    <t>CY18</t>
  </si>
  <si>
    <t>Act</t>
  </si>
  <si>
    <t>F'cast</t>
  </si>
  <si>
    <t>REFCL Driven Augmentation  (Safety)</t>
  </si>
  <si>
    <t>Safety (incl REFCL Augm)</t>
  </si>
  <si>
    <t>REFCL Program (Incl Non-network)</t>
  </si>
  <si>
    <t>real $2018</t>
  </si>
  <si>
    <t>P50 Direct Inputs - All Tranches</t>
  </si>
  <si>
    <t>Ntwk Balancing &amp; Isol Subs</t>
  </si>
  <si>
    <t>Feeder asset replacement</t>
  </si>
  <si>
    <t>Live line Equipment</t>
  </si>
  <si>
    <t>Non Ntwk</t>
  </si>
  <si>
    <t>WiMAX Network Asset Maintenance (Purchases)</t>
  </si>
  <si>
    <t>Mesh Network Asset Maintanenance</t>
  </si>
  <si>
    <t xml:space="preserve">North Region Feeders (From WOTS 22kV Zone Sub) </t>
  </si>
  <si>
    <t>Flexible DER - Dist. Transformer Sensing Devices</t>
  </si>
  <si>
    <t>Control Boxes &amp; ACRs</t>
  </si>
  <si>
    <t>MV Switches</t>
  </si>
  <si>
    <t>TRIO Remote and 3G Modem Replacement</t>
  </si>
  <si>
    <t>SDH/PDH and DIC Switch &amp; Serial Server Replacement</t>
  </si>
  <si>
    <t>Telephony Service (POTS to NBN) and TMR Console / Mobile Replacement</t>
  </si>
  <si>
    <t>Zone substation lighting</t>
  </si>
  <si>
    <t>SWER (Codified Areas)</t>
  </si>
  <si>
    <t>Bare conductor (Codified Areas)</t>
  </si>
  <si>
    <t>Arc Suppression Coil</t>
  </si>
  <si>
    <t>5 min meter data settlement and global settlements</t>
  </si>
  <si>
    <t>Non-network general assets - Land</t>
  </si>
  <si>
    <t>Top down adjustment</t>
  </si>
  <si>
    <t>REFCL driven Augmentation</t>
  </si>
  <si>
    <t>Voltage Compliance Program</t>
  </si>
  <si>
    <t xml:space="preserve">Summer Network Readiness Program </t>
  </si>
  <si>
    <t>Customer Supply Compliance Program</t>
  </si>
  <si>
    <t>Eliminating Network Operational Deficiencies Program</t>
  </si>
  <si>
    <t>real $2018 to $Jun 2021</t>
  </si>
  <si>
    <t>Real Jun $2021</t>
  </si>
  <si>
    <t>ZSS fencing upgrade</t>
  </si>
  <si>
    <t>$2018 to Jun $2021</t>
  </si>
  <si>
    <t>REFCL Contingent projects (T1 / T2 / T3)</t>
  </si>
  <si>
    <t>Non-Network Leasehold Land &amp; Buildings</t>
  </si>
  <si>
    <t>Capitalised leases</t>
  </si>
  <si>
    <t>Capitalised Leases</t>
  </si>
  <si>
    <t>2022-26</t>
  </si>
  <si>
    <t>2027-31</t>
  </si>
  <si>
    <t>FY24</t>
  </si>
  <si>
    <t>FY25</t>
  </si>
  <si>
    <t>FY26</t>
  </si>
  <si>
    <t>real Jun $2021</t>
  </si>
  <si>
    <t>REFCL Program labour / non-labour splits</t>
  </si>
  <si>
    <t>Per IT Capex model FY22-26</t>
  </si>
  <si>
    <t>Forecast 
($0's, real June 2021)</t>
  </si>
  <si>
    <t>Index - Nominal to $2021</t>
  </si>
  <si>
    <t>High Level Program split - Recurrent</t>
  </si>
  <si>
    <t>High Level Program split - Non-recurrent</t>
  </si>
  <si>
    <t>High Level Program split - Client device</t>
  </si>
  <si>
    <t>DER - ICT - Non-recurrent</t>
  </si>
  <si>
    <t>ICT</t>
  </si>
  <si>
    <t>Direct P50, including labour escalation ($2018)</t>
  </si>
  <si>
    <t>6 mths</t>
  </si>
  <si>
    <t>Direct P50, including labour escalation ($Jun 2021)</t>
  </si>
  <si>
    <t>Stub</t>
  </si>
  <si>
    <t>Downer Electricity Contract - Support Costs forecast</t>
  </si>
  <si>
    <t>Downer Support costs, $2018</t>
  </si>
  <si>
    <t>before Downer support cost allocation</t>
  </si>
  <si>
    <t>P50 Direct Expenditure Forecast ($2018) - excluding Downer Contracts</t>
  </si>
  <si>
    <t>LV Circuit Breakers</t>
  </si>
  <si>
    <t>EXPENDITURE
($'0s, real June 2021)</t>
  </si>
  <si>
    <t>Forecast ($0's, real June 2021)</t>
  </si>
  <si>
    <t>Total Capex excl OH</t>
  </si>
  <si>
    <t>2020-21</t>
  </si>
  <si>
    <t>2021-22</t>
  </si>
  <si>
    <t>2022-23</t>
  </si>
  <si>
    <t>2023-24</t>
  </si>
  <si>
    <t>2024-25</t>
  </si>
  <si>
    <t>2025-26</t>
  </si>
  <si>
    <t>2019-20</t>
  </si>
  <si>
    <t xml:space="preserve">Calendar year forecast </t>
  </si>
  <si>
    <t>CY2019</t>
  </si>
  <si>
    <t>CY2020</t>
  </si>
  <si>
    <t>Direct, $Nominal</t>
  </si>
  <si>
    <t>In-house labour expenditure</t>
  </si>
  <si>
    <t>Labour expenditure outsourced to related parties</t>
  </si>
  <si>
    <t>Labour expenditure outsourced to unrelated parties</t>
  </si>
  <si>
    <t>Controllable non-labour expenditure</t>
  </si>
  <si>
    <t>Uncontrollable non-labour expenditure</t>
  </si>
  <si>
    <t>Total Capex incl OHD, net of contributions</t>
  </si>
  <si>
    <t>real $Jun 2021</t>
  </si>
  <si>
    <t>2.11 Labour - Capex</t>
  </si>
  <si>
    <t>2.1.8 - STANDARD CONTROL SERVICES CAPITALISED OVERHEADS</t>
  </si>
  <si>
    <t>capcons (included in the above)</t>
  </si>
  <si>
    <t>Forecast 
($0's, real $2018)</t>
  </si>
  <si>
    <t>6 months</t>
  </si>
  <si>
    <t>Capitalised Overheads, $Nominal</t>
  </si>
  <si>
    <t>This line does not get included in the total</t>
  </si>
  <si>
    <t>3 Year</t>
  </si>
  <si>
    <t>Average</t>
  </si>
  <si>
    <t>June Financial Years:-</t>
  </si>
  <si>
    <t>Buidling Services - Other</t>
  </si>
  <si>
    <t>Land purchases - REFCL</t>
  </si>
  <si>
    <t>Live line equipment</t>
  </si>
  <si>
    <t>REFCL Augmentation</t>
  </si>
  <si>
    <t>REFCL Tranches and REFCL Augmentation</t>
  </si>
  <si>
    <t>Total REFCL Capex</t>
  </si>
  <si>
    <t>DER Capex View</t>
  </si>
  <si>
    <t>Jan-Jun-21</t>
  </si>
  <si>
    <t>source: 2018 Actual Input Table Splits (excluding 'IT &amp; Comms splits' and 'Other Comms' splits).</t>
  </si>
  <si>
    <t>Medium Density Housing</t>
  </si>
  <si>
    <t>U/Ground Service Installation</t>
  </si>
  <si>
    <t>Business Supply Projects</t>
  </si>
  <si>
    <t>Private Electric Line Repl</t>
  </si>
  <si>
    <t>Low Density Housing - Subdivision</t>
  </si>
  <si>
    <t>Meters T/Switches &amp; Services</t>
  </si>
  <si>
    <t>Recoverable &amp; Special Works</t>
  </si>
  <si>
    <t>Cogeneration Projects</t>
  </si>
  <si>
    <t>Public Lighting Projects - Minor</t>
  </si>
  <si>
    <t>Public Lighting Capital - Major</t>
  </si>
  <si>
    <t>Complex residential supply projects</t>
  </si>
  <si>
    <t>Total Capex incl Overheads, $2018</t>
  </si>
  <si>
    <t>Total Capex incl Overheads, $2021</t>
  </si>
  <si>
    <t>P50 Direct incl labour escalation, $2021</t>
  </si>
  <si>
    <t>Forecast
($000's, real)</t>
  </si>
  <si>
    <t>Source: AER Category Analysis Templates 2009-13, 2014 - 2018</t>
  </si>
  <si>
    <t>Capitalised Overheads - Standard Control</t>
  </si>
  <si>
    <t>$Nominal</t>
  </si>
  <si>
    <t>Total Safety Expenditure  (Replacement, Augmentation, Non Network)</t>
  </si>
  <si>
    <t>(before Downer support cost allocation)</t>
  </si>
  <si>
    <t>Total Capitalised Overheads - SCS ($m)</t>
  </si>
  <si>
    <t>Excludes REFCL tranches volumes</t>
  </si>
  <si>
    <t>Capitalised Overheads are applied to Network and IT Capex categories.  Non Network Other (e.g, property, vehicles, tools, etc.) does not include an overheads allocation.</t>
  </si>
  <si>
    <t>Supporting calculation for the Network Overhead rates: -</t>
  </si>
  <si>
    <t>Direct Capex by Purpose (excl. Non Network)</t>
  </si>
  <si>
    <t>Total Connections - Excluding Gifted Assets</t>
  </si>
  <si>
    <t>Total Connections - Including Gifted Assets</t>
  </si>
  <si>
    <t>New Connections Direct costs subject to Overheads (Incl Downer)</t>
  </si>
  <si>
    <t>Lifecycle</t>
  </si>
  <si>
    <t>Forecast Overheads by stream</t>
  </si>
  <si>
    <t>2.1.8 Overheads</t>
  </si>
  <si>
    <t>2.11 Labour</t>
  </si>
  <si>
    <t>5.2 Selected Reporting Views</t>
  </si>
  <si>
    <t>DER related Capex</t>
  </si>
  <si>
    <t>REFCL Capex</t>
  </si>
  <si>
    <t>REFCL T1</t>
  </si>
  <si>
    <t>REFCL T2</t>
  </si>
  <si>
    <t>Overhead Cable</t>
  </si>
  <si>
    <t>Proactive replacement of bare SWER conductor in Codified Areas with HV ABC</t>
  </si>
  <si>
    <t>Tranche 3 REFCL Construction, Testing and Commissioning</t>
  </si>
  <si>
    <t>Augmentation to address the capacitive current seen by REFCL's</t>
  </si>
  <si>
    <t>Table 1A - Direct P50, including labour escalation ($2018)</t>
  </si>
  <si>
    <t>Table 1B - Direct P50, including labour escalation ($Jun 2021)</t>
  </si>
  <si>
    <t>Historical / Actual</t>
  </si>
  <si>
    <t>Jan-Jun21</t>
  </si>
  <si>
    <r>
      <t xml:space="preserve">Safety </t>
    </r>
    <r>
      <rPr>
        <vertAlign val="superscript"/>
        <sz val="9.35"/>
        <color theme="1"/>
        <rFont val="Calibri"/>
        <family val="2"/>
      </rPr>
      <t>3</t>
    </r>
  </si>
  <si>
    <r>
      <t xml:space="preserve">Total Gross Capex (Jun $2021) </t>
    </r>
    <r>
      <rPr>
        <b/>
        <vertAlign val="superscript"/>
        <sz val="9.35"/>
        <color theme="1"/>
        <rFont val="Calibri"/>
        <family val="2"/>
      </rPr>
      <t>1</t>
    </r>
  </si>
  <si>
    <r>
      <t xml:space="preserve">Net Capex - Total (Jun $2021) </t>
    </r>
    <r>
      <rPr>
        <b/>
        <vertAlign val="superscript"/>
        <sz val="9.35"/>
        <color theme="1"/>
        <rFont val="Calibri"/>
        <family val="2"/>
      </rPr>
      <t>2</t>
    </r>
  </si>
  <si>
    <t>1. Excludes equity raising costs</t>
  </si>
  <si>
    <t>2. Net Capex before asset disposals</t>
  </si>
  <si>
    <t>3. Govt funded safety (powerline replacement fund) is included in 2014 and 2015 actual gross capex and contributions.  From 2016 onward these costs and contributions are excluded from SCS capex</t>
  </si>
  <si>
    <t>Table 2: Capital Contributions</t>
  </si>
  <si>
    <t>Contributions by driver</t>
  </si>
  <si>
    <t>Government funded (PRF)</t>
  </si>
  <si>
    <t>Contributions - Total (Jun $2021)</t>
  </si>
  <si>
    <t>Capex net of contributions (Jun $2021)</t>
  </si>
  <si>
    <t>2021-25</t>
  </si>
  <si>
    <t>Demand driven Augex - net of contributions</t>
  </si>
  <si>
    <t>Safety (exc REFCL) - net of contributions</t>
  </si>
  <si>
    <t>Connections - net of contributions</t>
  </si>
  <si>
    <t>Real $Jun-21</t>
  </si>
  <si>
    <t>Table 1: Gross Capex including capcons</t>
  </si>
  <si>
    <t>Total Capital Contributions (Jun $2021)</t>
  </si>
  <si>
    <t>Total 2016-20 Forecast Net Capex</t>
  </si>
  <si>
    <t>% Reduction to 2016-20 period</t>
  </si>
  <si>
    <t>Safety - REFCL driven Augmentation</t>
  </si>
  <si>
    <t>Capex Driver</t>
  </si>
  <si>
    <t>FY22-26 Forecast</t>
  </si>
  <si>
    <t>PTRM output - Standard Control Services</t>
  </si>
  <si>
    <t>Capex Drivers - Standard Control Services</t>
  </si>
  <si>
    <t>$m, Jun $2021</t>
  </si>
  <si>
    <t>REFCL Tranches (incl Non-network)</t>
  </si>
  <si>
    <t>Table 1A - Direct costs including labour escalation, $Jun 2021</t>
  </si>
  <si>
    <t>Table 1B - Direct costs including labour escalation, $Jun 2021 - FY basis</t>
  </si>
  <si>
    <t>(Excluding IT)</t>
  </si>
  <si>
    <t>Replacement Expenditure</t>
  </si>
  <si>
    <t>Table 1D - Direct costs including labour escalation, $Jun 2021 - FY basis</t>
  </si>
  <si>
    <t>Table 1C - Direct costs including labour escalation, $Jun 2021</t>
  </si>
  <si>
    <t>Total T1-T3</t>
  </si>
  <si>
    <t>Subtotal Tranches 1-3</t>
  </si>
  <si>
    <t>REFCL Tranches only (T1-T3), excluding IT</t>
  </si>
  <si>
    <t>Metering related IT systems (SCS)</t>
  </si>
  <si>
    <t>Capex 2016-2026</t>
  </si>
  <si>
    <t>MV capex profile</t>
  </si>
  <si>
    <t>Metering Comms Replacement (SCS)</t>
  </si>
  <si>
    <t xml:space="preserve">Source: ASD - WPI calculation - Public.xls  -  2019-26 forecasts based on an average of forecasts prepared by Deloitte &amp; BIS forecasts. Forecast of EGWWS Victoria real WPI. </t>
  </si>
  <si>
    <t>source: actual CPI to Jun-19 Qtr, forecast CPI for 6 months to June 2021 (6 month Proposal PTRM) and forecast CPI for FY22-26 (Proposal PTRM model - 2022-26)</t>
  </si>
  <si>
    <t>Source: AusNet Services' 2018 RIN expenditure analysis</t>
  </si>
  <si>
    <t>Table 1E - Direct costs including labour escalation, $Jun 2021 - FY basis</t>
  </si>
  <si>
    <t>Public version</t>
  </si>
  <si>
    <t>$2018</t>
  </si>
  <si>
    <t>$Jun-21</t>
  </si>
  <si>
    <t>Confidential</t>
  </si>
  <si>
    <t>Zone Substation Works</t>
  </si>
  <si>
    <t>Capitalised Overheads - Standard Control Services</t>
  </si>
  <si>
    <t>DRN 3rd 20/33MVA Transformer</t>
  </si>
  <si>
    <t>CLN 3rd 20/33MVA Transformer</t>
  </si>
  <si>
    <t>See Connections Capex Forecast model</t>
  </si>
  <si>
    <t>Note: This sheet is left blank intentionally</t>
  </si>
  <si>
    <t>--&gt; source: ASD Connections Capex forecast model 2021-26</t>
  </si>
  <si>
    <t>(source: ASD Connections Capex forecast model 2021-26)</t>
  </si>
  <si>
    <t>Major_Rebuilds</t>
  </si>
  <si>
    <t>PC&amp;A</t>
  </si>
  <si>
    <t>SCADA&amp;Comms</t>
  </si>
  <si>
    <t>ESL_2</t>
  </si>
  <si>
    <t>Metering_SCS</t>
  </si>
  <si>
    <t>Other_NN</t>
  </si>
  <si>
    <t>REFCL_view</t>
  </si>
  <si>
    <t>Sheet Name</t>
  </si>
  <si>
    <t>Updates</t>
  </si>
  <si>
    <t>Restored links to input sheets where formulas were previously hardcoded</t>
  </si>
  <si>
    <t>ESL_1</t>
  </si>
  <si>
    <t xml:space="preserve">None.  All information on AusNet Services' Unit Rates remains confidential </t>
  </si>
  <si>
    <t>All inputs, except 1 project, are now public</t>
  </si>
  <si>
    <t>Downer_Contract</t>
  </si>
  <si>
    <t xml:space="preserve">None.  Downer Contract support cost information remains confidential </t>
  </si>
  <si>
    <t>Various formulae in the following Output sheets was reinstated:</t>
  </si>
  <si>
    <t>Removed subheading '3.5. SCADA &amp; Network Control' and hyperlink as this is already included under Replacement Capex (3.3 e.)</t>
  </si>
  <si>
    <t>Contents</t>
  </si>
  <si>
    <t>3.5. Non Network Capex</t>
  </si>
  <si>
    <t>Renamed subheading '3.6. Non Network Capex' to '3.5. Non Network Capex'</t>
  </si>
  <si>
    <t>Formatting changes in Contents sheet:</t>
  </si>
  <si>
    <t>Table: Non Safety related capex remains confidential (as other C.I.C costs can be derived if made public)</t>
  </si>
  <si>
    <t>Table: Environment, safety &amp; legal - Replacement is now public (previously marked confidential)</t>
  </si>
  <si>
    <t>Table: Environment, safety &amp; legal - Augmentation is now public (previously marked confidential)</t>
  </si>
  <si>
    <t>All inputs and subtotals are now public</t>
  </si>
  <si>
    <t>The following 'Input sheets' previously marked confidential are now made public:</t>
  </si>
  <si>
    <t>The following 'Input sheets' remain confidential:</t>
  </si>
  <si>
    <t>The following updates were made in 'Safety Expenditure' calculation sheet:</t>
  </si>
  <si>
    <t>Metering lifecycle initiatives - subtotal</t>
  </si>
  <si>
    <t>Total Capex incl Overheads, $Nominal (Current Period)</t>
  </si>
  <si>
    <t>Total Capex excl Overheads, $Nominal (Current Period)</t>
  </si>
  <si>
    <t>Additional table added in these 'Input Sheets'</t>
  </si>
  <si>
    <t>Nominal outputs for Current period shown in columns BL:BN</t>
  </si>
  <si>
    <t>Nominal outputs for Current period shown in columns BK:BM</t>
  </si>
  <si>
    <t>RAB category</t>
  </si>
  <si>
    <t>Additional Information</t>
  </si>
  <si>
    <t>Added Nominal capex forecasts for Current period in columns BL:BN</t>
  </si>
  <si>
    <t>Added Nominal capex forecasts for Current period in columns BK:BM</t>
  </si>
  <si>
    <t>ASD Revisions to Confidential and Public information (24/06/2020)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</si>
</sst>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43" formatCode="_-* #,##0.00_-;\-* #,##0.00_-;_-* &quot;-&quot;??_-;_-@_-"/>
    <numFmt numFmtId="164" formatCode="#,##0.0"/>
    <numFmt numFmtId="165" formatCode="0.0%"/>
    <numFmt numFmtId="166" formatCode="0.000"/>
    <numFmt numFmtId="167" formatCode="0.0"/>
    <numFmt numFmtId="168" formatCode="0.0000"/>
    <numFmt numFmtId="169" formatCode="&quot;$&quot;#,##0"/>
    <numFmt numFmtId="170" formatCode="&quot;$&quot;#,##0.0"/>
    <numFmt numFmtId="171" formatCode="#,##0.000"/>
    <numFmt numFmtId="172" formatCode="_-* #,##0_-;\-* #,##0_-;_-* &quot;-&quot;??_-;_-@_-"/>
    <numFmt numFmtId="173" formatCode="#,##0_ ;[Red]\-#,##0\ "/>
    <numFmt numFmtId="174" formatCode="_-* #,##0.0_-;\-* #,##0.0_-;_-* &quot;-&quot;??_-;_-@_-"/>
    <numFmt numFmtId="175" formatCode="0.000000%"/>
  </numFmts>
  <fonts count="52" x14ac:knownFonts="1">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1"/>
      <color rgb="FFFF0000"/>
      <name val="Calibri"/>
      <family val="2"/>
      <scheme val="minor"/>
    </font>
    <font>
      <b/>
      <sz val="14"/>
      <color rgb="FF002060"/>
      <name val="Calibri"/>
      <family val="2"/>
      <scheme val="minor"/>
    </font>
    <font>
      <b/>
      <sz val="16"/>
      <color rgb="FF002060"/>
      <name val="Calibri"/>
      <family val="2"/>
      <scheme val="minor"/>
    </font>
    <font>
      <b/>
      <sz val="11"/>
      <color rgb="FF002060"/>
      <name val="Calibri"/>
      <family val="2"/>
      <scheme val="minor"/>
    </font>
    <font>
      <u/>
      <sz val="11"/>
      <color rgb="FF002060"/>
      <name val="Calibri"/>
      <family val="2"/>
      <scheme val="minor"/>
    </font>
    <font>
      <sz val="11"/>
      <color rgb="FF002060"/>
      <name val="Calibri"/>
      <family val="2"/>
      <scheme val="minor"/>
    </font>
    <font>
      <sz val="10"/>
      <color theme="1"/>
      <name val="Calibri"/>
      <family val="2"/>
      <scheme val="minor"/>
    </font>
    <font>
      <i/>
      <sz val="11"/>
      <color rgb="FF002060"/>
      <name val="Calibri"/>
      <family val="2"/>
      <scheme val="minor"/>
    </font>
    <font>
      <i/>
      <sz val="11"/>
      <color theme="1"/>
      <name val="Calibri"/>
      <family val="2"/>
      <scheme val="minor"/>
    </font>
    <font>
      <u/>
      <sz val="10"/>
      <color theme="10"/>
      <name val="Calibri"/>
      <family val="2"/>
      <scheme val="minor"/>
    </font>
    <font>
      <u/>
      <sz val="11"/>
      <color theme="1"/>
      <name val="Calibri"/>
      <family val="2"/>
      <scheme val="minor"/>
    </font>
    <font>
      <sz val="11"/>
      <color rgb="FFC00000"/>
      <name val="Calibri"/>
      <family val="2"/>
      <scheme val="minor"/>
    </font>
    <font>
      <sz val="9"/>
      <color indexed="81"/>
      <name val="Tahoma"/>
      <family val="2"/>
    </font>
    <font>
      <b/>
      <sz val="9"/>
      <color indexed="81"/>
      <name val="Tahoma"/>
      <family val="2"/>
    </font>
    <font>
      <sz val="11"/>
      <color theme="0" tint="-0.499984740745262"/>
      <name val="Calibri"/>
      <family val="2"/>
      <scheme val="minor"/>
    </font>
    <font>
      <sz val="11"/>
      <name val="Calibri"/>
      <family val="2"/>
      <scheme val="minor"/>
    </font>
    <font>
      <sz val="11"/>
      <color theme="0"/>
      <name val="Calibri"/>
      <family val="2"/>
      <scheme val="minor"/>
    </font>
    <font>
      <u/>
      <sz val="11"/>
      <color theme="11"/>
      <name val="Calibri"/>
      <family val="2"/>
      <scheme val="minor"/>
    </font>
    <font>
      <sz val="11"/>
      <color rgb="FF800000"/>
      <name val="Calibri"/>
      <family val="2"/>
      <scheme val="minor"/>
    </font>
    <font>
      <sz val="11"/>
      <color rgb="FF0070C0"/>
      <name val="Calibri"/>
      <family val="2"/>
      <scheme val="minor"/>
    </font>
    <font>
      <i/>
      <sz val="11"/>
      <color theme="3"/>
      <name val="Calibri"/>
      <family val="2"/>
      <scheme val="minor"/>
    </font>
    <font>
      <sz val="11"/>
      <color theme="3"/>
      <name val="Calibri"/>
      <family val="2"/>
      <scheme val="minor"/>
    </font>
    <font>
      <b/>
      <sz val="12"/>
      <color theme="0"/>
      <name val="Calibri"/>
      <family val="2"/>
      <scheme val="minor"/>
    </font>
    <font>
      <sz val="16"/>
      <color indexed="51"/>
      <name val="Arial Black"/>
      <family val="2"/>
    </font>
    <font>
      <b/>
      <sz val="10"/>
      <name val="Arial"/>
      <family val="2"/>
    </font>
    <font>
      <sz val="10"/>
      <name val="Arial"/>
      <family val="2"/>
    </font>
    <font>
      <sz val="10"/>
      <color rgb="FFFF0000"/>
      <name val="Arial"/>
      <family val="2"/>
    </font>
    <font>
      <b/>
      <sz val="11"/>
      <name val="Arial Black"/>
      <family val="2"/>
    </font>
    <font>
      <b/>
      <sz val="11"/>
      <color theme="3"/>
      <name val="Calibri"/>
      <family val="2"/>
      <scheme val="minor"/>
    </font>
    <font>
      <b/>
      <u/>
      <sz val="11"/>
      <color theme="1"/>
      <name val="Calibri"/>
      <family val="2"/>
      <scheme val="minor"/>
    </font>
    <font>
      <b/>
      <sz val="14"/>
      <color theme="1"/>
      <name val="Arial"/>
      <family val="2"/>
    </font>
    <font>
      <b/>
      <sz val="11"/>
      <name val="Arial"/>
      <family val="2"/>
    </font>
    <font>
      <b/>
      <sz val="11"/>
      <name val="Calibri"/>
      <family val="2"/>
      <scheme val="minor"/>
    </font>
    <font>
      <sz val="11"/>
      <color theme="1"/>
      <name val="Arial"/>
      <family val="2"/>
    </font>
    <font>
      <sz val="11"/>
      <name val="Arial"/>
      <family val="2"/>
    </font>
    <font>
      <b/>
      <sz val="11"/>
      <color theme="1"/>
      <name val="Arial"/>
      <family val="2"/>
    </font>
    <font>
      <b/>
      <sz val="11"/>
      <color rgb="FFFF0000"/>
      <name val="Calibri"/>
      <family val="2"/>
      <scheme val="minor"/>
    </font>
    <font>
      <b/>
      <sz val="11"/>
      <color rgb="FF0070C0"/>
      <name val="Calibri"/>
      <family val="2"/>
      <scheme val="minor"/>
    </font>
    <font>
      <sz val="11"/>
      <color rgb="FF0000FF"/>
      <name val="Calibri"/>
      <family val="2"/>
      <scheme val="minor"/>
    </font>
    <font>
      <b/>
      <sz val="16"/>
      <color rgb="FFFF0000"/>
      <name val="Calibri"/>
      <family val="2"/>
      <scheme val="minor"/>
    </font>
    <font>
      <b/>
      <sz val="11"/>
      <color theme="0"/>
      <name val="Calibri"/>
      <family val="2"/>
      <scheme val="minor"/>
    </font>
    <font>
      <i/>
      <sz val="10"/>
      <color theme="1"/>
      <name val="Calibri"/>
      <family val="2"/>
      <scheme val="minor"/>
    </font>
    <font>
      <sz val="8"/>
      <name val="Calibri"/>
      <family val="2"/>
      <scheme val="minor"/>
    </font>
    <font>
      <vertAlign val="superscript"/>
      <sz val="9.35"/>
      <color theme="1"/>
      <name val="Calibri"/>
      <family val="2"/>
    </font>
    <font>
      <b/>
      <vertAlign val="superscript"/>
      <sz val="9.35"/>
      <color theme="1"/>
      <name val="Calibri"/>
      <family val="2"/>
    </font>
    <font>
      <sz val="12"/>
      <color rgb="FF0070C0"/>
      <name val="Calibri"/>
      <family val="2"/>
      <scheme val="minor"/>
    </font>
    <font>
      <b/>
      <sz val="12"/>
      <color rgb="FF0070C0"/>
      <name val="Calibri"/>
      <family val="2"/>
      <scheme val="minor"/>
    </font>
    <font>
      <b/>
      <sz val="14"/>
      <color theme="3"/>
      <name val="Calibri"/>
      <family val="2"/>
      <scheme val="minor"/>
    </font>
  </fonts>
  <fills count="3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CCFFFF"/>
        <bgColor indexed="64"/>
      </patternFill>
    </fill>
    <fill>
      <patternFill patternType="solid">
        <fgColor theme="7" tint="0.79998168889431442"/>
        <bgColor indexed="64"/>
      </patternFill>
    </fill>
    <fill>
      <patternFill patternType="solid">
        <fgColor theme="1"/>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indexed="26"/>
        <bgColor indexed="64"/>
      </patternFill>
    </fill>
    <fill>
      <patternFill patternType="solid">
        <fgColor indexed="22"/>
        <bgColor indexed="64"/>
      </patternFill>
    </fill>
    <fill>
      <patternFill patternType="solid">
        <fgColor rgb="FFFFFF9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3" tint="0.59999389629810485"/>
        <bgColor indexed="64"/>
      </patternFill>
    </fill>
    <fill>
      <patternFill patternType="solid">
        <fgColor theme="1" tint="0.499984740745262"/>
        <bgColor indexed="64"/>
      </patternFill>
    </fill>
    <fill>
      <patternFill patternType="solid">
        <fgColor rgb="FF00B0F0"/>
        <bgColor indexed="64"/>
      </patternFill>
    </fill>
    <fill>
      <patternFill patternType="solid">
        <fgColor rgb="FFFFFFFF"/>
        <bgColor indexed="64"/>
      </patternFill>
    </fill>
    <fill>
      <patternFill patternType="solid">
        <fgColor rgb="FF0070C0"/>
        <bgColor indexed="64"/>
      </patternFill>
    </fill>
    <fill>
      <patternFill patternType="solid">
        <fgColor theme="8" tint="-0.249977111117893"/>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rgb="FF000000"/>
        <bgColor indexed="64"/>
      </patternFill>
    </fill>
    <fill>
      <patternFill patternType="solid">
        <fgColor rgb="FFD8E4BC"/>
        <bgColor indexed="64"/>
      </patternFill>
    </fill>
  </fills>
  <borders count="8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top/>
      <bottom style="thin">
        <color auto="1"/>
      </bottom>
      <diagonal/>
    </border>
    <border>
      <left style="dotted">
        <color auto="1"/>
      </left>
      <right/>
      <top/>
      <bottom/>
      <diagonal/>
    </border>
    <border>
      <left style="dotted">
        <color auto="1"/>
      </left>
      <right/>
      <top/>
      <bottom style="thin">
        <color auto="1"/>
      </bottom>
      <diagonal/>
    </border>
    <border diagonalUp="1">
      <left/>
      <right/>
      <top/>
      <bottom style="thin">
        <color auto="1"/>
      </bottom>
      <diagonal style="thin">
        <color auto="1"/>
      </diagonal>
    </border>
    <border diagonalUp="1">
      <left/>
      <right/>
      <top/>
      <bottom/>
      <diagonal style="thin">
        <color auto="1"/>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diagonal/>
    </border>
    <border>
      <left style="medium">
        <color auto="1"/>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style="medium">
        <color auto="1"/>
      </top>
      <bottom/>
      <diagonal/>
    </border>
    <border>
      <left style="thin">
        <color indexed="64"/>
      </left>
      <right/>
      <top style="thin">
        <color indexed="64"/>
      </top>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style="medium">
        <color auto="1"/>
      </right>
      <top style="medium">
        <color indexed="64"/>
      </top>
      <bottom/>
      <diagonal/>
    </border>
    <border>
      <left style="medium">
        <color indexed="64"/>
      </left>
      <right/>
      <top style="medium">
        <color indexed="64"/>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medium">
        <color auto="1"/>
      </right>
      <top style="medium">
        <color indexed="64"/>
      </top>
      <bottom style="thin">
        <color theme="0" tint="-0.24994659260841701"/>
      </bottom>
      <diagonal/>
    </border>
    <border>
      <left style="medium">
        <color indexed="64"/>
      </left>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indexed="64"/>
      </left>
      <right/>
      <top style="thin">
        <color theme="0" tint="-0.24994659260841701"/>
      </top>
      <bottom style="medium">
        <color auto="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auto="1"/>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indexed="64"/>
      </bottom>
      <diagonal/>
    </border>
    <border>
      <left style="medium">
        <color auto="1"/>
      </left>
      <right/>
      <top style="thin">
        <color indexed="64"/>
      </top>
      <bottom style="thin">
        <color theme="0" tint="-0.34998626667073579"/>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auto="1"/>
      </bottom>
      <diagonal/>
    </border>
    <border>
      <left style="medium">
        <color indexed="64"/>
      </left>
      <right style="medium">
        <color indexed="64"/>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auto="1"/>
      </right>
      <top/>
      <bottom style="thin">
        <color theme="0" tint="-0.24994659260841701"/>
      </bottom>
      <diagonal/>
    </border>
    <border>
      <left/>
      <right style="medium">
        <color auto="1"/>
      </right>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style="thin">
        <color theme="0" tint="-0.24994659260841701"/>
      </right>
      <top/>
      <bottom style="medium">
        <color auto="1"/>
      </bottom>
      <diagonal/>
    </border>
    <border>
      <left style="thin">
        <color theme="0" tint="-0.24994659260841701"/>
      </left>
      <right style="medium">
        <color indexed="64"/>
      </right>
      <top/>
      <bottom style="medium">
        <color indexed="64"/>
      </bottom>
      <diagonal/>
    </border>
    <border>
      <left style="medium">
        <color indexed="64"/>
      </left>
      <right style="medium">
        <color indexed="64"/>
      </right>
      <top/>
      <bottom style="thin">
        <color theme="0" tint="-0.24994659260841701"/>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diagonalUp="1">
      <left style="thin">
        <color auto="1"/>
      </left>
      <right/>
      <top/>
      <bottom/>
      <diagonal style="thin">
        <color auto="1"/>
      </diagonal>
    </border>
    <border diagonalUp="1">
      <left style="thin">
        <color indexed="64"/>
      </left>
      <right/>
      <top/>
      <bottom style="thin">
        <color auto="1"/>
      </bottom>
      <diagonal style="thin">
        <color auto="1"/>
      </diagonal>
    </border>
    <border>
      <left/>
      <right style="medium">
        <color indexed="64"/>
      </right>
      <top/>
      <bottom/>
      <diagonal/>
    </border>
    <border>
      <left style="dotted">
        <color auto="1"/>
      </left>
      <right style="dotted">
        <color auto="1"/>
      </right>
      <top/>
      <bottom/>
      <diagonal/>
    </border>
    <border>
      <left style="dotted">
        <color auto="1"/>
      </left>
      <right style="dotted">
        <color auto="1"/>
      </right>
      <top/>
      <bottom style="thin">
        <color auto="1"/>
      </bottom>
      <diagonal/>
    </border>
    <border>
      <left style="medium">
        <color indexed="64"/>
      </left>
      <right/>
      <top style="thin">
        <color theme="0" tint="-0.24994659260841701"/>
      </top>
      <bottom/>
      <diagonal/>
    </border>
    <border>
      <left/>
      <right style="thin">
        <color theme="0" tint="-0.24994659260841701"/>
      </right>
      <top/>
      <bottom style="medium">
        <color indexed="64"/>
      </bottom>
      <diagonal/>
    </border>
    <border>
      <left style="thin">
        <color indexed="64"/>
      </left>
      <right style="thin">
        <color theme="0" tint="-0.24994659260841701"/>
      </right>
      <top style="thin">
        <color auto="1"/>
      </top>
      <bottom style="thin">
        <color theme="0" tint="-0.24994659260841701"/>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medium">
        <color indexed="64"/>
      </bottom>
      <diagonal/>
    </border>
    <border>
      <left style="dotted">
        <color auto="1"/>
      </left>
      <right style="dotted">
        <color auto="1"/>
      </right>
      <top style="thin">
        <color indexed="64"/>
      </top>
      <bottom/>
      <diagonal/>
    </border>
    <border>
      <left style="thin">
        <color theme="0" tint="-0.24994659260841701"/>
      </left>
      <right/>
      <top style="medium">
        <color indexed="64"/>
      </top>
      <bottom/>
      <diagonal/>
    </border>
    <border>
      <left style="medium">
        <color indexed="64"/>
      </left>
      <right style="thin">
        <color theme="0" tint="-0.24994659260841701"/>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s>
  <cellStyleXfs count="50">
    <xf numFmtId="0" fontId="0" fillId="0" borderId="0"/>
    <xf numFmtId="0" fontId="2" fillId="0" borderId="0" applyNumberFormat="0" applyFill="0" applyBorder="0" applyAlignment="0" applyProtection="0"/>
    <xf numFmtId="9" fontId="3" fillId="0" borderId="0" applyFont="0" applyFill="0" applyBorder="0" applyAlignment="0" applyProtection="0"/>
    <xf numFmtId="0" fontId="3"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43" fontId="3" fillId="0" borderId="0" applyFont="0" applyFill="0" applyBorder="0" applyAlignment="0" applyProtection="0"/>
    <xf numFmtId="0" fontId="26" fillId="10" borderId="0">
      <alignment vertical="center"/>
      <protection locked="0"/>
    </xf>
  </cellStyleXfs>
  <cellXfs count="646">
    <xf numFmtId="0" fontId="0" fillId="0" borderId="0" xfId="0"/>
    <xf numFmtId="0" fontId="0" fillId="2" borderId="0" xfId="0" applyFill="1"/>
    <xf numFmtId="0" fontId="1" fillId="2" borderId="0" xfId="0" applyFont="1" applyFill="1"/>
    <xf numFmtId="0" fontId="2" fillId="2" borderId="0" xfId="1" applyFill="1"/>
    <xf numFmtId="0" fontId="0" fillId="2" borderId="1" xfId="0" applyFill="1" applyBorder="1" applyAlignment="1">
      <alignment horizontal="left" vertical="center"/>
    </xf>
    <xf numFmtId="0" fontId="0" fillId="2" borderId="1" xfId="0" applyFill="1" applyBorder="1" applyAlignment="1">
      <alignment vertical="center" wrapText="1"/>
    </xf>
    <xf numFmtId="0" fontId="0" fillId="2" borderId="1" xfId="0" applyFill="1" applyBorder="1"/>
    <xf numFmtId="0" fontId="0" fillId="3" borderId="1" xfId="0" applyFill="1" applyBorder="1"/>
    <xf numFmtId="0" fontId="1" fillId="2" borderId="1" xfId="0" applyFont="1" applyFill="1" applyBorder="1"/>
    <xf numFmtId="0" fontId="1" fillId="2" borderId="1" xfId="0" applyFont="1" applyFill="1" applyBorder="1" applyAlignment="1">
      <alignment horizontal="center" wrapText="1"/>
    </xf>
    <xf numFmtId="0" fontId="5" fillId="2" borderId="0" xfId="0" applyFont="1" applyFill="1"/>
    <xf numFmtId="0" fontId="6" fillId="2" borderId="0" xfId="0" applyFont="1" applyFill="1"/>
    <xf numFmtId="0" fontId="7" fillId="2" borderId="0" xfId="0" applyFont="1" applyFill="1"/>
    <xf numFmtId="0" fontId="9" fillId="2" borderId="0" xfId="0" applyFont="1" applyFill="1" applyAlignment="1">
      <alignment horizontal="center"/>
    </xf>
    <xf numFmtId="0" fontId="9" fillId="2" borderId="0" xfId="0" applyFont="1" applyFill="1" applyAlignment="1">
      <alignment horizontal="right"/>
    </xf>
    <xf numFmtId="0" fontId="9" fillId="2" borderId="0" xfId="0" applyFont="1" applyFill="1"/>
    <xf numFmtId="0" fontId="10" fillId="2" borderId="0" xfId="0" applyFont="1" applyFill="1"/>
    <xf numFmtId="0" fontId="1" fillId="2" borderId="1" xfId="0" applyFont="1" applyFill="1" applyBorder="1" applyAlignment="1">
      <alignment horizontal="center"/>
    </xf>
    <xf numFmtId="0" fontId="1" fillId="2" borderId="1" xfId="0" applyNumberFormat="1" applyFont="1" applyFill="1" applyBorder="1" applyAlignment="1">
      <alignment horizontal="center"/>
    </xf>
    <xf numFmtId="0" fontId="7" fillId="2" borderId="0" xfId="0" applyFont="1" applyFill="1" applyAlignment="1"/>
    <xf numFmtId="0" fontId="8" fillId="2" borderId="0" xfId="1" applyFont="1" applyFill="1"/>
    <xf numFmtId="0" fontId="5" fillId="5" borderId="0" xfId="0" applyFont="1" applyFill="1"/>
    <xf numFmtId="0" fontId="0" fillId="5" borderId="0" xfId="0" applyFill="1"/>
    <xf numFmtId="0" fontId="11" fillId="2" borderId="0" xfId="0" applyFont="1" applyFill="1" applyAlignment="1">
      <alignment horizontal="right"/>
    </xf>
    <xf numFmtId="0" fontId="12" fillId="2" borderId="0" xfId="0" applyFont="1" applyFill="1"/>
    <xf numFmtId="0" fontId="13" fillId="2" borderId="0" xfId="1" applyFont="1" applyFill="1"/>
    <xf numFmtId="0" fontId="13" fillId="5" borderId="0" xfId="1" applyFont="1" applyFill="1"/>
    <xf numFmtId="10" fontId="0" fillId="2" borderId="1" xfId="2" applyNumberFormat="1" applyFont="1" applyFill="1" applyBorder="1"/>
    <xf numFmtId="0" fontId="0" fillId="2" borderId="1" xfId="0" applyFill="1" applyBorder="1" applyAlignment="1">
      <alignment horizontal="center"/>
    </xf>
    <xf numFmtId="17" fontId="0" fillId="2" borderId="1" xfId="0" applyNumberFormat="1" applyFill="1" applyBorder="1" applyAlignment="1">
      <alignment horizontal="center"/>
    </xf>
    <xf numFmtId="0" fontId="0" fillId="0" borderId="0" xfId="0" applyAlignment="1">
      <alignment horizontal="right"/>
    </xf>
    <xf numFmtId="0" fontId="0" fillId="2" borderId="2" xfId="0" applyFill="1" applyBorder="1"/>
    <xf numFmtId="0" fontId="0" fillId="2" borderId="3" xfId="0" applyFill="1" applyBorder="1"/>
    <xf numFmtId="0" fontId="0" fillId="2" borderId="4" xfId="0" applyFill="1" applyBorder="1"/>
    <xf numFmtId="0" fontId="4" fillId="2" borderId="0" xfId="0" applyFont="1" applyFill="1"/>
    <xf numFmtId="0" fontId="14" fillId="2" borderId="0" xfId="0" applyFont="1" applyFill="1"/>
    <xf numFmtId="0" fontId="0" fillId="2" borderId="0" xfId="0" applyFill="1" applyAlignment="1">
      <alignment horizontal="center"/>
    </xf>
    <xf numFmtId="0" fontId="0" fillId="2" borderId="8" xfId="0" applyFill="1" applyBorder="1" applyAlignment="1">
      <alignment horizontal="center"/>
    </xf>
    <xf numFmtId="0" fontId="0" fillId="2" borderId="8" xfId="0" applyFill="1" applyBorder="1"/>
    <xf numFmtId="3" fontId="0" fillId="2" borderId="0" xfId="0" applyNumberFormat="1" applyFill="1"/>
    <xf numFmtId="3" fontId="0" fillId="2" borderId="9" xfId="0" applyNumberFormat="1" applyFill="1" applyBorder="1"/>
    <xf numFmtId="0" fontId="0" fillId="2" borderId="0" xfId="0" applyFill="1" applyBorder="1"/>
    <xf numFmtId="0" fontId="0" fillId="2" borderId="9" xfId="0" applyFill="1" applyBorder="1"/>
    <xf numFmtId="0" fontId="0" fillId="2" borderId="0" xfId="0" applyFont="1" applyFill="1" applyAlignment="1">
      <alignment horizontal="center"/>
    </xf>
    <xf numFmtId="0" fontId="0" fillId="2" borderId="11" xfId="0" applyFill="1" applyBorder="1" applyAlignment="1">
      <alignment horizontal="center"/>
    </xf>
    <xf numFmtId="3" fontId="0" fillId="3" borderId="1" xfId="0" applyNumberFormat="1" applyFill="1" applyBorder="1"/>
    <xf numFmtId="164" fontId="0" fillId="3" borderId="1" xfId="0" applyNumberFormat="1" applyFill="1" applyBorder="1"/>
    <xf numFmtId="3" fontId="0" fillId="2" borderId="1" xfId="0" applyNumberFormat="1" applyFill="1" applyBorder="1"/>
    <xf numFmtId="3" fontId="1" fillId="2" borderId="1" xfId="0" applyNumberFormat="1" applyFont="1" applyFill="1" applyBorder="1"/>
    <xf numFmtId="3" fontId="1" fillId="3" borderId="1" xfId="0" applyNumberFormat="1" applyFont="1" applyFill="1" applyBorder="1"/>
    <xf numFmtId="3" fontId="0" fillId="2" borderId="0" xfId="0" applyNumberFormat="1" applyFill="1" applyBorder="1"/>
    <xf numFmtId="3" fontId="1" fillId="2" borderId="0" xfId="0" applyNumberFormat="1" applyFont="1" applyFill="1"/>
    <xf numFmtId="0" fontId="15" fillId="2" borderId="0" xfId="0" applyFont="1" applyFill="1"/>
    <xf numFmtId="0" fontId="18" fillId="2" borderId="0" xfId="0" applyFont="1" applyFill="1"/>
    <xf numFmtId="3" fontId="18" fillId="2" borderId="0" xfId="0" applyNumberFormat="1" applyFont="1" applyFill="1"/>
    <xf numFmtId="0" fontId="19" fillId="2" borderId="0" xfId="0" applyFont="1" applyFill="1"/>
    <xf numFmtId="3" fontId="0" fillId="3" borderId="0" xfId="0" applyNumberFormat="1" applyFill="1"/>
    <xf numFmtId="0" fontId="0" fillId="2" borderId="0" xfId="0" applyFill="1" applyAlignment="1">
      <alignment horizontal="left" indent="1"/>
    </xf>
    <xf numFmtId="0" fontId="0" fillId="2" borderId="0" xfId="0" applyFill="1" applyAlignment="1">
      <alignment horizontal="center" wrapText="1"/>
    </xf>
    <xf numFmtId="0" fontId="0" fillId="2" borderId="2" xfId="0" applyFill="1" applyBorder="1" applyAlignment="1">
      <alignment vertical="top"/>
    </xf>
    <xf numFmtId="165" fontId="0" fillId="2" borderId="1" xfId="2" applyNumberFormat="1" applyFont="1" applyFill="1" applyBorder="1" applyAlignment="1">
      <alignment vertical="center"/>
    </xf>
    <xf numFmtId="0" fontId="20" fillId="2" borderId="3" xfId="0" applyFont="1" applyFill="1" applyBorder="1"/>
    <xf numFmtId="0" fontId="20" fillId="2" borderId="4" xfId="0" applyFont="1" applyFill="1" applyBorder="1"/>
    <xf numFmtId="9" fontId="0" fillId="2" borderId="1" xfId="2" applyFont="1" applyFill="1" applyBorder="1"/>
    <xf numFmtId="166" fontId="0" fillId="2" borderId="1" xfId="0" applyNumberFormat="1" applyFill="1" applyBorder="1"/>
    <xf numFmtId="0" fontId="0" fillId="2" borderId="1" xfId="0" applyFont="1" applyFill="1" applyBorder="1"/>
    <xf numFmtId="9" fontId="0" fillId="2" borderId="1" xfId="2" applyFont="1" applyFill="1" applyBorder="1" applyAlignment="1"/>
    <xf numFmtId="0" fontId="1" fillId="2" borderId="9" xfId="0" applyFont="1" applyFill="1" applyBorder="1" applyAlignment="1"/>
    <xf numFmtId="0" fontId="0" fillId="2" borderId="2" xfId="0" applyFont="1" applyFill="1" applyBorder="1"/>
    <xf numFmtId="0" fontId="1" fillId="2" borderId="3" xfId="0" applyFont="1" applyFill="1" applyBorder="1"/>
    <xf numFmtId="0" fontId="1" fillId="2" borderId="4" xfId="0" applyFont="1" applyFill="1" applyBorder="1"/>
    <xf numFmtId="0" fontId="0" fillId="2" borderId="3" xfId="0" applyFont="1" applyFill="1" applyBorder="1"/>
    <xf numFmtId="0" fontId="0" fillId="2" borderId="1" xfId="0" applyFont="1" applyFill="1" applyBorder="1" applyAlignment="1"/>
    <xf numFmtId="0" fontId="0" fillId="2" borderId="1" xfId="0" applyFont="1" applyFill="1" applyBorder="1" applyAlignment="1">
      <alignment horizontal="center" wrapText="1"/>
    </xf>
    <xf numFmtId="0" fontId="7" fillId="2" borderId="0" xfId="1" applyFont="1" applyFill="1"/>
    <xf numFmtId="165" fontId="0" fillId="2" borderId="1" xfId="2" applyNumberFormat="1" applyFont="1" applyFill="1" applyBorder="1" applyAlignment="1">
      <alignment horizontal="right" vertical="center"/>
    </xf>
    <xf numFmtId="0" fontId="0" fillId="0" borderId="1" xfId="0" applyFill="1" applyBorder="1"/>
    <xf numFmtId="9" fontId="0" fillId="0" borderId="1" xfId="2" applyFont="1" applyFill="1" applyBorder="1"/>
    <xf numFmtId="9" fontId="0" fillId="2" borderId="0" xfId="0" applyNumberFormat="1" applyFill="1" applyAlignment="1"/>
    <xf numFmtId="0" fontId="0" fillId="2" borderId="0" xfId="0" applyFill="1" applyAlignment="1">
      <alignment horizontal="right"/>
    </xf>
    <xf numFmtId="10" fontId="0" fillId="2" borderId="1" xfId="0" applyNumberFormat="1" applyFill="1" applyBorder="1"/>
    <xf numFmtId="0" fontId="1" fillId="2" borderId="9" xfId="0" applyFont="1" applyFill="1" applyBorder="1" applyAlignment="1">
      <alignment horizontal="center"/>
    </xf>
    <xf numFmtId="166" fontId="0" fillId="0" borderId="1" xfId="0" applyNumberFormat="1" applyFill="1" applyBorder="1"/>
    <xf numFmtId="164" fontId="0" fillId="2" borderId="1" xfId="0" applyNumberFormat="1" applyFill="1" applyBorder="1"/>
    <xf numFmtId="0" fontId="0" fillId="3" borderId="0" xfId="0" applyFill="1"/>
    <xf numFmtId="165" fontId="0" fillId="2" borderId="0" xfId="2" applyNumberFormat="1" applyFont="1" applyFill="1"/>
    <xf numFmtId="6" fontId="0" fillId="2" borderId="0" xfId="0" quotePrefix="1" applyNumberFormat="1" applyFill="1" applyBorder="1" applyAlignment="1">
      <alignment horizontal="center"/>
    </xf>
    <xf numFmtId="0" fontId="0" fillId="2" borderId="0" xfId="0" applyFill="1" applyBorder="1" applyAlignment="1">
      <alignment horizontal="center"/>
    </xf>
    <xf numFmtId="165" fontId="0" fillId="2" borderId="0" xfId="2" applyNumberFormat="1" applyFont="1" applyFill="1" applyBorder="1"/>
    <xf numFmtId="0" fontId="22" fillId="2" borderId="0" xfId="0" applyFont="1" applyFill="1"/>
    <xf numFmtId="164" fontId="0" fillId="2" borderId="8" xfId="0" applyNumberFormat="1" applyFill="1" applyBorder="1"/>
    <xf numFmtId="164" fontId="0" fillId="2" borderId="0" xfId="0" applyNumberFormat="1" applyFill="1"/>
    <xf numFmtId="164" fontId="0" fillId="2" borderId="9" xfId="0" applyNumberFormat="1" applyFill="1" applyBorder="1"/>
    <xf numFmtId="167" fontId="0" fillId="2" borderId="0" xfId="0" applyNumberFormat="1" applyFill="1"/>
    <xf numFmtId="0" fontId="1" fillId="2" borderId="9" xfId="0" applyFont="1" applyFill="1" applyBorder="1" applyAlignment="1">
      <alignment horizontal="center"/>
    </xf>
    <xf numFmtId="0" fontId="23" fillId="8" borderId="0" xfId="0" applyFont="1" applyFill="1"/>
    <xf numFmtId="0" fontId="24" fillId="8" borderId="0" xfId="0" applyFont="1" applyFill="1"/>
    <xf numFmtId="0" fontId="24" fillId="2" borderId="0" xfId="0" applyFont="1" applyFill="1"/>
    <xf numFmtId="0" fontId="24" fillId="7" borderId="0" xfId="0" applyFont="1" applyFill="1"/>
    <xf numFmtId="0" fontId="25" fillId="7" borderId="0" xfId="0" applyFont="1" applyFill="1"/>
    <xf numFmtId="167" fontId="0" fillId="2" borderId="1" xfId="0" applyNumberFormat="1" applyFill="1" applyBorder="1" applyAlignment="1"/>
    <xf numFmtId="168" fontId="0" fillId="2" borderId="0" xfId="0" applyNumberFormat="1" applyFill="1"/>
    <xf numFmtId="6" fontId="1" fillId="2" borderId="0" xfId="0" quotePrefix="1" applyNumberFormat="1" applyFont="1" applyFill="1" applyBorder="1" applyAlignment="1">
      <alignment horizontal="center"/>
    </xf>
    <xf numFmtId="0" fontId="0" fillId="2" borderId="0" xfId="0" applyFont="1" applyFill="1"/>
    <xf numFmtId="0" fontId="1" fillId="2" borderId="9" xfId="0" applyFont="1" applyFill="1" applyBorder="1" applyAlignment="1">
      <alignment horizontal="center"/>
    </xf>
    <xf numFmtId="169" fontId="0" fillId="3" borderId="1" xfId="0" applyNumberFormat="1" applyFill="1" applyBorder="1"/>
    <xf numFmtId="170" fontId="0" fillId="3" borderId="1" xfId="0" applyNumberFormat="1" applyFill="1" applyBorder="1"/>
    <xf numFmtId="164" fontId="19" fillId="2" borderId="1" xfId="0" applyNumberFormat="1" applyFont="1" applyFill="1" applyBorder="1"/>
    <xf numFmtId="9" fontId="0" fillId="2" borderId="0" xfId="2" applyFont="1" applyFill="1"/>
    <xf numFmtId="10" fontId="0" fillId="2" borderId="0" xfId="2" applyNumberFormat="1" applyFont="1" applyFill="1"/>
    <xf numFmtId="17" fontId="0" fillId="9" borderId="1" xfId="0" applyNumberFormat="1" applyFill="1" applyBorder="1" applyAlignment="1">
      <alignment horizontal="center"/>
    </xf>
    <xf numFmtId="168" fontId="0" fillId="2" borderId="1" xfId="0" applyNumberFormat="1" applyFill="1" applyBorder="1"/>
    <xf numFmtId="10" fontId="0" fillId="0" borderId="1" xfId="2" applyNumberFormat="1" applyFont="1" applyFill="1" applyBorder="1"/>
    <xf numFmtId="164" fontId="0" fillId="2" borderId="0" xfId="0" applyNumberFormat="1" applyFill="1" applyBorder="1"/>
    <xf numFmtId="3" fontId="1" fillId="2" borderId="0" xfId="0" applyNumberFormat="1" applyFont="1" applyFill="1" applyBorder="1"/>
    <xf numFmtId="0" fontId="26" fillId="10" borderId="0" xfId="49">
      <alignment vertical="center"/>
      <protection locked="0"/>
    </xf>
    <xf numFmtId="0" fontId="0" fillId="2" borderId="0" xfId="0" applyFill="1" applyAlignment="1"/>
    <xf numFmtId="0" fontId="28" fillId="6" borderId="20" xfId="0" applyFont="1" applyFill="1" applyBorder="1" applyAlignment="1">
      <alignment horizontal="left" vertical="center" wrapText="1"/>
    </xf>
    <xf numFmtId="0" fontId="28" fillId="6" borderId="26" xfId="0" applyFont="1" applyFill="1" applyBorder="1" applyAlignment="1">
      <alignment horizontal="left" vertical="center" wrapText="1"/>
    </xf>
    <xf numFmtId="0" fontId="28" fillId="12" borderId="27" xfId="0" applyFont="1" applyFill="1" applyBorder="1" applyAlignment="1">
      <alignment horizontal="center" vertical="center" wrapText="1"/>
    </xf>
    <xf numFmtId="0" fontId="28" fillId="12" borderId="28" xfId="0" applyFont="1" applyFill="1" applyBorder="1" applyAlignment="1">
      <alignment horizontal="center" vertical="center" wrapText="1"/>
    </xf>
    <xf numFmtId="4" fontId="29" fillId="14" borderId="30" xfId="0" applyNumberFormat="1" applyFont="1" applyFill="1" applyBorder="1" applyAlignment="1" applyProtection="1">
      <alignment horizontal="left" vertical="center" wrapText="1"/>
      <protection locked="0"/>
    </xf>
    <xf numFmtId="4" fontId="29" fillId="14" borderId="34" xfId="0" applyNumberFormat="1" applyFont="1" applyFill="1" applyBorder="1" applyAlignment="1" applyProtection="1">
      <alignment horizontal="left" vertical="center" wrapText="1"/>
      <protection locked="0"/>
    </xf>
    <xf numFmtId="4" fontId="30" fillId="14" borderId="38" xfId="0" applyNumberFormat="1" applyFont="1" applyFill="1" applyBorder="1" applyAlignment="1" applyProtection="1">
      <alignment horizontal="left" vertical="center" wrapText="1"/>
      <protection locked="0"/>
    </xf>
    <xf numFmtId="4" fontId="29" fillId="14" borderId="38" xfId="0" applyNumberFormat="1" applyFont="1" applyFill="1" applyBorder="1" applyAlignment="1" applyProtection="1">
      <alignment horizontal="left" vertical="center" wrapText="1"/>
      <protection locked="0"/>
    </xf>
    <xf numFmtId="3" fontId="0" fillId="0" borderId="0" xfId="0" applyNumberFormat="1"/>
    <xf numFmtId="0" fontId="4" fillId="0" borderId="0" xfId="0" applyFont="1"/>
    <xf numFmtId="10" fontId="0" fillId="0" borderId="1" xfId="0" applyNumberFormat="1" applyFill="1" applyBorder="1"/>
    <xf numFmtId="0" fontId="32" fillId="2" borderId="0" xfId="0" applyFont="1" applyFill="1"/>
    <xf numFmtId="0" fontId="33" fillId="2" borderId="0" xfId="0" applyFont="1" applyFill="1"/>
    <xf numFmtId="0" fontId="0" fillId="0" borderId="0" xfId="0" applyFill="1"/>
    <xf numFmtId="0" fontId="26" fillId="10" borderId="0" xfId="49" applyProtection="1">
      <alignment vertical="center"/>
    </xf>
    <xf numFmtId="0" fontId="34" fillId="0" borderId="0" xfId="0" applyFont="1" applyFill="1" applyBorder="1" applyProtection="1"/>
    <xf numFmtId="0" fontId="0" fillId="2" borderId="46" xfId="0" applyFill="1" applyBorder="1" applyAlignment="1" applyProtection="1">
      <alignment vertical="center"/>
    </xf>
    <xf numFmtId="0" fontId="0" fillId="2" borderId="0" xfId="0" applyFill="1" applyBorder="1" applyAlignment="1" applyProtection="1">
      <alignment vertical="center"/>
    </xf>
    <xf numFmtId="0" fontId="28" fillId="0" borderId="47" xfId="0" applyFont="1" applyFill="1" applyBorder="1" applyAlignment="1" applyProtection="1">
      <alignment horizontal="left" vertical="center" wrapText="1"/>
    </xf>
    <xf numFmtId="0" fontId="1" fillId="2" borderId="48" xfId="0" applyFont="1" applyFill="1" applyBorder="1" applyAlignment="1" applyProtection="1">
      <alignment vertical="center"/>
    </xf>
    <xf numFmtId="0" fontId="1" fillId="2" borderId="15" xfId="0" applyFont="1" applyFill="1" applyBorder="1" applyAlignment="1" applyProtection="1">
      <alignment horizontal="center" vertical="center" wrapText="1"/>
    </xf>
    <xf numFmtId="0" fontId="37" fillId="2" borderId="15" xfId="0" applyFont="1" applyFill="1" applyBorder="1" applyProtection="1"/>
    <xf numFmtId="0" fontId="38" fillId="2" borderId="49" xfId="0" applyFont="1" applyFill="1" applyBorder="1" applyAlignment="1" applyProtection="1">
      <alignment wrapText="1"/>
    </xf>
    <xf numFmtId="0" fontId="37" fillId="2" borderId="50" xfId="0" applyFont="1" applyFill="1" applyBorder="1" applyAlignment="1" applyProtection="1">
      <alignment horizontal="right"/>
    </xf>
    <xf numFmtId="172" fontId="38" fillId="3" borderId="31" xfId="48" applyNumberFormat="1" applyFont="1" applyFill="1" applyBorder="1" applyAlignment="1" applyProtection="1">
      <alignment horizontal="right" vertical="center" indent="1"/>
      <protection locked="0"/>
    </xf>
    <xf numFmtId="172" fontId="38" fillId="3" borderId="32" xfId="48" applyNumberFormat="1" applyFont="1" applyFill="1" applyBorder="1" applyAlignment="1" applyProtection="1">
      <alignment horizontal="right" vertical="center" indent="1"/>
      <protection locked="0"/>
    </xf>
    <xf numFmtId="172" fontId="38" fillId="3" borderId="33" xfId="48" applyNumberFormat="1" applyFont="1" applyFill="1" applyBorder="1" applyAlignment="1" applyProtection="1">
      <alignment horizontal="right" vertical="center" indent="1"/>
      <protection locked="0"/>
    </xf>
    <xf numFmtId="0" fontId="37" fillId="2" borderId="46" xfId="0" applyFont="1" applyFill="1" applyBorder="1" applyProtection="1"/>
    <xf numFmtId="0" fontId="38" fillId="2" borderId="10" xfId="0" applyFont="1" applyFill="1" applyBorder="1" applyAlignment="1" applyProtection="1">
      <alignment wrapText="1"/>
    </xf>
    <xf numFmtId="0" fontId="37" fillId="2" borderId="51" xfId="0" applyFont="1" applyFill="1" applyBorder="1" applyAlignment="1" applyProtection="1">
      <alignment horizontal="right"/>
    </xf>
    <xf numFmtId="172" fontId="38" fillId="16" borderId="35" xfId="48" applyNumberFormat="1" applyFont="1" applyFill="1" applyBorder="1" applyAlignment="1" applyProtection="1">
      <alignment horizontal="right" vertical="center" indent="1"/>
      <protection locked="0"/>
    </xf>
    <xf numFmtId="172" fontId="38" fillId="16" borderId="36" xfId="48" applyNumberFormat="1" applyFont="1" applyFill="1" applyBorder="1" applyAlignment="1" applyProtection="1">
      <alignment horizontal="right" vertical="center" indent="1"/>
      <protection locked="0"/>
    </xf>
    <xf numFmtId="172" fontId="38" fillId="16" borderId="37" xfId="48" applyNumberFormat="1" applyFont="1" applyFill="1" applyBorder="1" applyAlignment="1" applyProtection="1">
      <alignment horizontal="right" vertical="center" indent="1"/>
      <protection locked="0"/>
    </xf>
    <xf numFmtId="0" fontId="38" fillId="2" borderId="26" xfId="0" applyFont="1" applyFill="1" applyBorder="1" applyAlignment="1" applyProtection="1"/>
    <xf numFmtId="0" fontId="37" fillId="2" borderId="52" xfId="0" applyFont="1" applyFill="1" applyBorder="1" applyAlignment="1" applyProtection="1">
      <alignment horizontal="right"/>
    </xf>
    <xf numFmtId="172" fontId="38" fillId="3" borderId="35" xfId="48" applyNumberFormat="1" applyFont="1" applyFill="1" applyBorder="1" applyAlignment="1" applyProtection="1">
      <alignment horizontal="right" vertical="center" indent="1"/>
      <protection locked="0"/>
    </xf>
    <xf numFmtId="172" fontId="38" fillId="3" borderId="36" xfId="48" applyNumberFormat="1" applyFont="1" applyFill="1" applyBorder="1" applyAlignment="1" applyProtection="1">
      <alignment horizontal="right" vertical="center" indent="1"/>
      <protection locked="0"/>
    </xf>
    <xf numFmtId="172" fontId="38" fillId="3" borderId="37" xfId="48" applyNumberFormat="1" applyFont="1" applyFill="1" applyBorder="1" applyAlignment="1" applyProtection="1">
      <alignment horizontal="right" vertical="center" indent="1"/>
      <protection locked="0"/>
    </xf>
    <xf numFmtId="0" fontId="38" fillId="2" borderId="10" xfId="0" applyFont="1" applyFill="1" applyBorder="1" applyAlignment="1" applyProtection="1"/>
    <xf numFmtId="0" fontId="37" fillId="2" borderId="23" xfId="0" applyFont="1" applyFill="1" applyBorder="1" applyProtection="1"/>
    <xf numFmtId="0" fontId="38" fillId="2" borderId="8" xfId="0" applyFont="1" applyFill="1" applyBorder="1" applyAlignment="1" applyProtection="1"/>
    <xf numFmtId="172" fontId="0" fillId="2" borderId="0" xfId="48" applyNumberFormat="1" applyFont="1" applyFill="1"/>
    <xf numFmtId="172" fontId="0" fillId="2" borderId="0" xfId="0" applyNumberFormat="1" applyFill="1"/>
    <xf numFmtId="172" fontId="1" fillId="2" borderId="0" xfId="48" applyNumberFormat="1" applyFont="1" applyFill="1"/>
    <xf numFmtId="1" fontId="0" fillId="2" borderId="0" xfId="0" applyNumberFormat="1" applyFill="1"/>
    <xf numFmtId="0" fontId="39" fillId="0" borderId="46" xfId="0" applyFont="1" applyFill="1" applyBorder="1" applyProtection="1"/>
    <xf numFmtId="0" fontId="25" fillId="2" borderId="0" xfId="0" applyFont="1" applyFill="1"/>
    <xf numFmtId="0" fontId="0" fillId="2" borderId="14" xfId="0" applyFill="1" applyBorder="1"/>
    <xf numFmtId="0" fontId="0" fillId="2" borderId="13" xfId="0" applyFill="1" applyBorder="1"/>
    <xf numFmtId="3" fontId="0" fillId="2" borderId="0" xfId="0" applyNumberFormat="1" applyFont="1" applyFill="1"/>
    <xf numFmtId="0" fontId="29" fillId="0" borderId="30" xfId="0" applyFont="1" applyFill="1" applyBorder="1" applyAlignment="1" applyProtection="1">
      <alignment horizontal="right" vertical="top"/>
    </xf>
    <xf numFmtId="173" fontId="0" fillId="3" borderId="57" xfId="48" applyNumberFormat="1" applyFont="1" applyFill="1" applyBorder="1" applyAlignment="1" applyProtection="1">
      <alignment horizontal="right" vertical="top" wrapText="1"/>
      <protection locked="0"/>
    </xf>
    <xf numFmtId="173" fontId="0" fillId="3" borderId="58" xfId="48" applyNumberFormat="1" applyFont="1" applyFill="1" applyBorder="1" applyAlignment="1" applyProtection="1">
      <alignment horizontal="right" vertical="top" wrapText="1"/>
      <protection locked="0"/>
    </xf>
    <xf numFmtId="0" fontId="29" fillId="0" borderId="34" xfId="0" applyFont="1" applyFill="1" applyBorder="1" applyAlignment="1" applyProtection="1">
      <alignment horizontal="right" vertical="top"/>
    </xf>
    <xf numFmtId="173" fontId="0" fillId="3" borderId="36" xfId="48" applyNumberFormat="1" applyFont="1" applyFill="1" applyBorder="1" applyAlignment="1" applyProtection="1">
      <alignment horizontal="right" vertical="top" wrapText="1"/>
      <protection locked="0"/>
    </xf>
    <xf numFmtId="173" fontId="0" fillId="3" borderId="37" xfId="48" applyNumberFormat="1" applyFont="1" applyFill="1" applyBorder="1" applyAlignment="1" applyProtection="1">
      <alignment horizontal="right" vertical="top" wrapText="1"/>
      <protection locked="0"/>
    </xf>
    <xf numFmtId="173" fontId="0" fillId="6" borderId="60" xfId="48" applyNumberFormat="1" applyFont="1" applyFill="1" applyBorder="1" applyAlignment="1" applyProtection="1">
      <alignment horizontal="right" vertical="center"/>
    </xf>
    <xf numFmtId="173" fontId="0" fillId="6" borderId="61" xfId="48" applyNumberFormat="1" applyFont="1" applyFill="1" applyBorder="1" applyAlignment="1" applyProtection="1">
      <alignment horizontal="right" vertical="center"/>
    </xf>
    <xf numFmtId="0" fontId="29" fillId="0" borderId="5" xfId="0" applyFont="1" applyFill="1" applyBorder="1" applyAlignment="1" applyProtection="1">
      <alignment horizontal="right" vertical="top"/>
    </xf>
    <xf numFmtId="3" fontId="1" fillId="4" borderId="1" xfId="0" applyNumberFormat="1" applyFont="1" applyFill="1" applyBorder="1" applyAlignment="1">
      <alignment vertical="center"/>
    </xf>
    <xf numFmtId="173" fontId="3" fillId="3" borderId="62" xfId="48" applyNumberFormat="1" applyFont="1" applyFill="1" applyBorder="1" applyAlignment="1" applyProtection="1">
      <alignment horizontal="right" vertical="top"/>
      <protection locked="0"/>
    </xf>
    <xf numFmtId="173" fontId="3" fillId="3" borderId="63" xfId="48" applyNumberFormat="1" applyFont="1" applyFill="1" applyBorder="1" applyAlignment="1" applyProtection="1">
      <alignment horizontal="right" vertical="top"/>
      <protection locked="0"/>
    </xf>
    <xf numFmtId="165" fontId="0" fillId="6" borderId="1" xfId="2" applyNumberFormat="1" applyFont="1" applyFill="1" applyBorder="1" applyAlignment="1">
      <alignment vertical="center"/>
    </xf>
    <xf numFmtId="0" fontId="0" fillId="2" borderId="0" xfId="0" applyFill="1" applyAlignment="1">
      <alignment horizontal="center"/>
    </xf>
    <xf numFmtId="165" fontId="0" fillId="2" borderId="0" xfId="0" applyNumberFormat="1" applyFill="1"/>
    <xf numFmtId="165" fontId="0" fillId="0" borderId="1" xfId="2" applyNumberFormat="1" applyFont="1" applyFill="1" applyBorder="1" applyAlignment="1">
      <alignment vertical="center"/>
    </xf>
    <xf numFmtId="164" fontId="0" fillId="5" borderId="8" xfId="0" applyNumberFormat="1" applyFill="1" applyBorder="1"/>
    <xf numFmtId="164" fontId="0" fillId="5" borderId="10" xfId="0" applyNumberFormat="1" applyFill="1" applyBorder="1"/>
    <xf numFmtId="0" fontId="0" fillId="2" borderId="0" xfId="0" quotePrefix="1" applyFill="1"/>
    <xf numFmtId="0" fontId="12" fillId="17" borderId="1" xfId="0" applyFont="1" applyFill="1" applyBorder="1" applyAlignment="1">
      <alignment horizontal="center"/>
    </xf>
    <xf numFmtId="167" fontId="0" fillId="17" borderId="1" xfId="0" applyNumberFormat="1" applyFill="1" applyBorder="1" applyAlignment="1"/>
    <xf numFmtId="166" fontId="0" fillId="2" borderId="1" xfId="0" applyNumberFormat="1" applyFill="1" applyBorder="1" applyAlignment="1"/>
    <xf numFmtId="0" fontId="24" fillId="2" borderId="1" xfId="0" applyFont="1" applyFill="1" applyBorder="1" applyAlignment="1">
      <alignment horizontal="center"/>
    </xf>
    <xf numFmtId="0" fontId="0" fillId="2" borderId="1" xfId="0" applyFont="1" applyFill="1" applyBorder="1" applyAlignment="1">
      <alignment horizontal="center"/>
    </xf>
    <xf numFmtId="173" fontId="29" fillId="3" borderId="32" xfId="48" applyNumberFormat="1" applyFont="1" applyFill="1" applyBorder="1" applyAlignment="1" applyProtection="1">
      <alignment horizontal="right" vertical="center"/>
      <protection locked="0"/>
    </xf>
    <xf numFmtId="173" fontId="29" fillId="3" borderId="31" xfId="48" applyNumberFormat="1" applyFont="1" applyFill="1" applyBorder="1" applyAlignment="1" applyProtection="1">
      <alignment horizontal="right" vertical="center"/>
      <protection locked="0"/>
    </xf>
    <xf numFmtId="173" fontId="29" fillId="3" borderId="33" xfId="48" applyNumberFormat="1" applyFont="1" applyFill="1" applyBorder="1" applyAlignment="1" applyProtection="1">
      <alignment horizontal="right" vertical="center"/>
      <protection locked="0"/>
    </xf>
    <xf numFmtId="173" fontId="29" fillId="3" borderId="35" xfId="48" applyNumberFormat="1" applyFont="1" applyFill="1" applyBorder="1" applyAlignment="1" applyProtection="1">
      <alignment horizontal="right" vertical="center"/>
      <protection locked="0"/>
    </xf>
    <xf numFmtId="173" fontId="29" fillId="3" borderId="36" xfId="48" applyNumberFormat="1" applyFont="1" applyFill="1" applyBorder="1" applyAlignment="1" applyProtection="1">
      <alignment horizontal="right" vertical="center"/>
      <protection locked="0"/>
    </xf>
    <xf numFmtId="173" fontId="29" fillId="3" borderId="37" xfId="48" applyNumberFormat="1" applyFont="1" applyFill="1" applyBorder="1" applyAlignment="1" applyProtection="1">
      <alignment horizontal="right" vertical="center"/>
      <protection locked="0"/>
    </xf>
    <xf numFmtId="173" fontId="29" fillId="3" borderId="39" xfId="48" applyNumberFormat="1" applyFont="1" applyFill="1" applyBorder="1" applyAlignment="1" applyProtection="1">
      <alignment horizontal="right" vertical="center"/>
      <protection locked="0"/>
    </xf>
    <xf numFmtId="173" fontId="29" fillId="3" borderId="40" xfId="48" applyNumberFormat="1" applyFont="1" applyFill="1" applyBorder="1" applyAlignment="1" applyProtection="1">
      <alignment horizontal="right" vertical="center"/>
      <protection locked="0"/>
    </xf>
    <xf numFmtId="173" fontId="29" fillId="3" borderId="41" xfId="48" applyNumberFormat="1" applyFont="1" applyFill="1" applyBorder="1" applyAlignment="1" applyProtection="1">
      <alignment horizontal="right" vertical="center"/>
      <protection locked="0"/>
    </xf>
    <xf numFmtId="173" fontId="29" fillId="15" borderId="43" xfId="48" applyNumberFormat="1" applyFont="1" applyFill="1" applyBorder="1" applyAlignment="1" applyProtection="1">
      <alignment horizontal="right" vertical="center"/>
    </xf>
    <xf numFmtId="173" fontId="29" fillId="15" borderId="44" xfId="48" applyNumberFormat="1" applyFont="1" applyFill="1" applyBorder="1" applyAlignment="1" applyProtection="1">
      <alignment horizontal="right" vertical="center"/>
    </xf>
    <xf numFmtId="173" fontId="29" fillId="15" borderId="45" xfId="48" applyNumberFormat="1" applyFont="1" applyFill="1" applyBorder="1" applyAlignment="1" applyProtection="1">
      <alignment horizontal="right" vertical="center"/>
    </xf>
    <xf numFmtId="0" fontId="25" fillId="0" borderId="0" xfId="0" applyFont="1"/>
    <xf numFmtId="172" fontId="1" fillId="2" borderId="0" xfId="0" applyNumberFormat="1" applyFont="1" applyFill="1"/>
    <xf numFmtId="0" fontId="0" fillId="2" borderId="0" xfId="0" applyFill="1" applyAlignment="1">
      <alignment horizontal="center"/>
    </xf>
    <xf numFmtId="165" fontId="3" fillId="2" borderId="0" xfId="2" applyNumberFormat="1" applyFont="1" applyFill="1" applyBorder="1"/>
    <xf numFmtId="0" fontId="0" fillId="2" borderId="0" xfId="0" applyFill="1" applyAlignment="1">
      <alignment horizontal="center"/>
    </xf>
    <xf numFmtId="0" fontId="0" fillId="2" borderId="0" xfId="0" applyFill="1" applyAlignment="1">
      <alignment horizontal="center" vertical="center" wrapText="1"/>
    </xf>
    <xf numFmtId="0" fontId="37" fillId="2" borderId="0" xfId="0" applyFont="1" applyFill="1" applyBorder="1" applyProtection="1"/>
    <xf numFmtId="0" fontId="38" fillId="2" borderId="0" xfId="0" applyFont="1" applyFill="1" applyBorder="1" applyAlignment="1" applyProtection="1"/>
    <xf numFmtId="0" fontId="37" fillId="2" borderId="0" xfId="0" applyFont="1" applyFill="1" applyBorder="1" applyAlignment="1" applyProtection="1">
      <alignment horizontal="right"/>
    </xf>
    <xf numFmtId="0" fontId="0" fillId="2" borderId="56" xfId="0" applyFill="1" applyBorder="1" applyProtection="1"/>
    <xf numFmtId="0" fontId="38" fillId="2" borderId="46" xfId="0" applyFont="1" applyFill="1" applyBorder="1" applyAlignment="1" applyProtection="1">
      <protection locked="0"/>
    </xf>
    <xf numFmtId="0" fontId="38" fillId="2" borderId="64" xfId="0" applyFont="1" applyFill="1" applyBorder="1" applyAlignment="1" applyProtection="1">
      <protection locked="0"/>
    </xf>
    <xf numFmtId="172" fontId="38" fillId="2" borderId="0" xfId="48" applyNumberFormat="1" applyFont="1" applyFill="1" applyBorder="1" applyAlignment="1" applyProtection="1">
      <alignment horizontal="right" vertical="center" indent="1"/>
      <protection locked="0"/>
    </xf>
    <xf numFmtId="0" fontId="0" fillId="2" borderId="0" xfId="0" applyFill="1" applyAlignment="1">
      <alignment horizontal="center"/>
    </xf>
    <xf numFmtId="0" fontId="0" fillId="2" borderId="0" xfId="0" applyFill="1" applyAlignment="1">
      <alignment horizontal="center" vertical="center"/>
    </xf>
    <xf numFmtId="165" fontId="0" fillId="2" borderId="0" xfId="2" applyNumberFormat="1" applyFont="1" applyFill="1" applyAlignment="1">
      <alignment horizontal="center"/>
    </xf>
    <xf numFmtId="43" fontId="0" fillId="2" borderId="0" xfId="48" applyFont="1" applyFill="1"/>
    <xf numFmtId="166" fontId="0" fillId="0" borderId="1" xfId="0" applyNumberFormat="1" applyFill="1" applyBorder="1" applyAlignment="1"/>
    <xf numFmtId="3" fontId="0" fillId="0" borderId="0" xfId="0" applyNumberFormat="1" applyFill="1"/>
    <xf numFmtId="0" fontId="19" fillId="0" borderId="0" xfId="0" applyFont="1"/>
    <xf numFmtId="172" fontId="0" fillId="2" borderId="9" xfId="48" applyNumberFormat="1" applyFont="1" applyFill="1" applyBorder="1"/>
    <xf numFmtId="0" fontId="1" fillId="2" borderId="9" xfId="0" applyFont="1" applyFill="1" applyBorder="1" applyAlignment="1">
      <alignment horizontal="center"/>
    </xf>
    <xf numFmtId="0" fontId="0" fillId="2" borderId="0" xfId="0" applyFill="1" applyAlignment="1">
      <alignment horizontal="center"/>
    </xf>
    <xf numFmtId="17" fontId="0" fillId="2" borderId="0" xfId="0" applyNumberFormat="1" applyFill="1" applyAlignment="1">
      <alignment horizontal="center"/>
    </xf>
    <xf numFmtId="0" fontId="23" fillId="3" borderId="1" xfId="0" applyFont="1" applyFill="1" applyBorder="1"/>
    <xf numFmtId="0" fontId="1" fillId="3" borderId="65" xfId="0" applyFont="1" applyFill="1" applyBorder="1" applyAlignment="1">
      <alignment horizontal="center"/>
    </xf>
    <xf numFmtId="0" fontId="32" fillId="2" borderId="0" xfId="0" applyFont="1" applyFill="1" applyAlignment="1">
      <alignment horizontal="left" indent="1"/>
    </xf>
    <xf numFmtId="0" fontId="0" fillId="2" borderId="5" xfId="0" applyFill="1" applyBorder="1" applyAlignment="1">
      <alignment horizontal="center"/>
    </xf>
    <xf numFmtId="0" fontId="0" fillId="2" borderId="6" xfId="0" applyFill="1" applyBorder="1" applyAlignment="1">
      <alignment horizontal="center"/>
    </xf>
    <xf numFmtId="0" fontId="0" fillId="2" borderId="0" xfId="0" applyFill="1" applyAlignment="1">
      <alignment horizontal="center"/>
    </xf>
    <xf numFmtId="0" fontId="0" fillId="2" borderId="66" xfId="0" applyFill="1" applyBorder="1" applyAlignment="1">
      <alignment horizontal="center"/>
    </xf>
    <xf numFmtId="10" fontId="0" fillId="5" borderId="1" xfId="2" applyNumberFormat="1" applyFont="1" applyFill="1" applyBorder="1"/>
    <xf numFmtId="167" fontId="0" fillId="0" borderId="1" xfId="0" applyNumberFormat="1" applyFill="1" applyBorder="1" applyAlignment="1"/>
    <xf numFmtId="10" fontId="0" fillId="2" borderId="0" xfId="0" applyNumberFormat="1" applyFill="1"/>
    <xf numFmtId="167" fontId="0" fillId="2" borderId="9" xfId="0" applyNumberFormat="1" applyFill="1" applyBorder="1"/>
    <xf numFmtId="0" fontId="0" fillId="2" borderId="8" xfId="0" applyFont="1" applyFill="1" applyBorder="1" applyAlignment="1">
      <alignment horizontal="center"/>
    </xf>
    <xf numFmtId="167" fontId="0" fillId="2" borderId="0" xfId="0" applyNumberFormat="1" applyFill="1" applyBorder="1"/>
    <xf numFmtId="0" fontId="0" fillId="2" borderId="0" xfId="0" applyFont="1" applyFill="1" applyBorder="1" applyAlignment="1">
      <alignment horizontal="center"/>
    </xf>
    <xf numFmtId="164" fontId="0" fillId="2" borderId="10" xfId="0" applyNumberFormat="1" applyFill="1" applyBorder="1"/>
    <xf numFmtId="0" fontId="0" fillId="2" borderId="5" xfId="0" applyFont="1" applyFill="1" applyBorder="1" applyAlignment="1">
      <alignment horizontal="center"/>
    </xf>
    <xf numFmtId="0" fontId="0" fillId="2" borderId="6" xfId="0" applyFont="1" applyFill="1" applyBorder="1" applyAlignment="1">
      <alignment horizontal="center"/>
    </xf>
    <xf numFmtId="0" fontId="0" fillId="2" borderId="7" xfId="0" applyFont="1" applyFill="1" applyBorder="1" applyAlignment="1">
      <alignment horizontal="center"/>
    </xf>
    <xf numFmtId="166" fontId="0" fillId="2" borderId="0" xfId="0" applyNumberFormat="1" applyFill="1"/>
    <xf numFmtId="0" fontId="18" fillId="2" borderId="0" xfId="0" applyFont="1" applyFill="1" applyBorder="1"/>
    <xf numFmtId="43" fontId="18" fillId="2" borderId="0" xfId="48" applyFont="1" applyFill="1"/>
    <xf numFmtId="164" fontId="0" fillId="5" borderId="0" xfId="0" applyNumberFormat="1" applyFill="1"/>
    <xf numFmtId="164" fontId="0" fillId="5" borderId="9" xfId="0" applyNumberFormat="1" applyFill="1" applyBorder="1"/>
    <xf numFmtId="3" fontId="0" fillId="2" borderId="0" xfId="0" applyNumberFormat="1" applyFill="1" applyAlignment="1">
      <alignment vertical="center"/>
    </xf>
    <xf numFmtId="0" fontId="41" fillId="2" borderId="0" xfId="0" applyFont="1" applyFill="1"/>
    <xf numFmtId="0" fontId="0" fillId="2" borderId="54" xfId="0" applyFill="1" applyBorder="1"/>
    <xf numFmtId="164" fontId="0" fillId="2" borderId="54" xfId="0" applyNumberFormat="1" applyFill="1" applyBorder="1"/>
    <xf numFmtId="164" fontId="0" fillId="2" borderId="24" xfId="0" applyNumberFormat="1" applyFill="1" applyBorder="1"/>
    <xf numFmtId="0" fontId="0" fillId="2" borderId="26" xfId="0" applyFill="1" applyBorder="1"/>
    <xf numFmtId="0" fontId="1" fillId="3" borderId="1" xfId="0" applyFont="1" applyFill="1" applyBorder="1"/>
    <xf numFmtId="0" fontId="0" fillId="3" borderId="1" xfId="0" applyFont="1" applyFill="1" applyBorder="1"/>
    <xf numFmtId="0" fontId="36" fillId="2" borderId="0" xfId="0" applyFont="1" applyFill="1"/>
    <xf numFmtId="165" fontId="0" fillId="6" borderId="1" xfId="2" applyNumberFormat="1" applyFont="1" applyFill="1" applyBorder="1" applyAlignment="1">
      <alignment horizontal="right" vertical="center"/>
    </xf>
    <xf numFmtId="0" fontId="41" fillId="2" borderId="0" xfId="0" applyFont="1" applyFill="1" applyAlignment="1">
      <alignment vertical="center"/>
    </xf>
    <xf numFmtId="0" fontId="0" fillId="2" borderId="0" xfId="0" applyFill="1" applyAlignment="1">
      <alignment horizontal="center"/>
    </xf>
    <xf numFmtId="0" fontId="0" fillId="0" borderId="0" xfId="0" applyAlignment="1">
      <alignment horizontal="center"/>
    </xf>
    <xf numFmtId="174" fontId="1" fillId="2" borderId="0" xfId="0" applyNumberFormat="1" applyFont="1" applyFill="1"/>
    <xf numFmtId="0" fontId="1" fillId="2" borderId="0" xfId="0" quotePrefix="1" applyFont="1" applyFill="1" applyAlignment="1">
      <alignment horizontal="center"/>
    </xf>
    <xf numFmtId="0" fontId="1" fillId="2" borderId="0" xfId="0" applyFont="1" applyFill="1" applyAlignment="1">
      <alignment horizontal="center"/>
    </xf>
    <xf numFmtId="0" fontId="0" fillId="0" borderId="1" xfId="0" applyFill="1" applyBorder="1" applyAlignment="1">
      <alignment vertical="center" wrapText="1"/>
    </xf>
    <xf numFmtId="10" fontId="0" fillId="7" borderId="1" xfId="2" applyNumberFormat="1" applyFont="1" applyFill="1" applyBorder="1"/>
    <xf numFmtId="0" fontId="0" fillId="2" borderId="0" xfId="0" applyFill="1" applyAlignment="1">
      <alignment horizontal="center"/>
    </xf>
    <xf numFmtId="172" fontId="0" fillId="2" borderId="8" xfId="48" applyNumberFormat="1" applyFont="1" applyFill="1" applyBorder="1"/>
    <xf numFmtId="172" fontId="0" fillId="2" borderId="8" xfId="0" applyNumberFormat="1" applyFill="1" applyBorder="1"/>
    <xf numFmtId="172" fontId="0" fillId="2" borderId="0" xfId="0" applyNumberFormat="1" applyFill="1" applyBorder="1"/>
    <xf numFmtId="172" fontId="0" fillId="2" borderId="10" xfId="48" applyNumberFormat="1" applyFont="1" applyFill="1" applyBorder="1"/>
    <xf numFmtId="172" fontId="0" fillId="2" borderId="9" xfId="0" applyNumberFormat="1" applyFill="1" applyBorder="1"/>
    <xf numFmtId="172" fontId="0" fillId="2" borderId="10" xfId="0" applyNumberFormat="1" applyFill="1" applyBorder="1"/>
    <xf numFmtId="172" fontId="0" fillId="2" borderId="0" xfId="48" applyNumberFormat="1" applyFont="1" applyFill="1" applyBorder="1"/>
    <xf numFmtId="172" fontId="0" fillId="2" borderId="0" xfId="2" applyNumberFormat="1" applyFont="1" applyFill="1"/>
    <xf numFmtId="43" fontId="0" fillId="2" borderId="8" xfId="48" applyFont="1" applyFill="1" applyBorder="1"/>
    <xf numFmtId="43" fontId="0" fillId="2" borderId="0" xfId="0" applyNumberFormat="1" applyFill="1"/>
    <xf numFmtId="172" fontId="19" fillId="2" borderId="0" xfId="48" applyNumberFormat="1" applyFont="1" applyFill="1"/>
    <xf numFmtId="172" fontId="19" fillId="2" borderId="8" xfId="48" applyNumberFormat="1" applyFont="1" applyFill="1" applyBorder="1"/>
    <xf numFmtId="172" fontId="19" fillId="2" borderId="0" xfId="0" applyNumberFormat="1" applyFont="1" applyFill="1"/>
    <xf numFmtId="172" fontId="19" fillId="2" borderId="8" xfId="0" applyNumberFormat="1" applyFont="1" applyFill="1" applyBorder="1"/>
    <xf numFmtId="43" fontId="19" fillId="2" borderId="0" xfId="0" applyNumberFormat="1" applyFont="1" applyFill="1"/>
    <xf numFmtId="0" fontId="1" fillId="2" borderId="8" xfId="0" applyFont="1" applyFill="1" applyBorder="1"/>
    <xf numFmtId="174" fontId="0" fillId="2" borderId="0" xfId="0" applyNumberFormat="1" applyFill="1"/>
    <xf numFmtId="172" fontId="19" fillId="2" borderId="14" xfId="0" applyNumberFormat="1" applyFont="1" applyFill="1" applyBorder="1"/>
    <xf numFmtId="172" fontId="19" fillId="2" borderId="67" xfId="0" applyNumberFormat="1" applyFont="1" applyFill="1" applyBorder="1"/>
    <xf numFmtId="0" fontId="0" fillId="2" borderId="67" xfId="0" applyFill="1" applyBorder="1"/>
    <xf numFmtId="174" fontId="0" fillId="2" borderId="0" xfId="48" applyNumberFormat="1" applyFont="1" applyFill="1"/>
    <xf numFmtId="0" fontId="0" fillId="2" borderId="68" xfId="0" applyFill="1" applyBorder="1"/>
    <xf numFmtId="172" fontId="0" fillId="9" borderId="9" xfId="0" applyNumberFormat="1" applyFill="1" applyBorder="1"/>
    <xf numFmtId="172" fontId="0" fillId="9" borderId="10" xfId="0" applyNumberFormat="1" applyFill="1" applyBorder="1"/>
    <xf numFmtId="0" fontId="0" fillId="2" borderId="25" xfId="0" applyFill="1" applyBorder="1" applyAlignment="1">
      <alignment horizontal="center"/>
    </xf>
    <xf numFmtId="0" fontId="0" fillId="2" borderId="46" xfId="0" applyFill="1" applyBorder="1" applyAlignment="1"/>
    <xf numFmtId="10" fontId="0" fillId="2" borderId="0" xfId="0" applyNumberFormat="1" applyFill="1" applyBorder="1"/>
    <xf numFmtId="10" fontId="0" fillId="2" borderId="69" xfId="0" applyNumberFormat="1" applyFill="1" applyBorder="1"/>
    <xf numFmtId="0" fontId="0" fillId="2" borderId="55" xfId="0" applyFill="1" applyBorder="1" applyAlignment="1"/>
    <xf numFmtId="165" fontId="0" fillId="2" borderId="47" xfId="0" applyNumberFormat="1" applyFill="1" applyBorder="1"/>
    <xf numFmtId="165" fontId="0" fillId="2" borderId="59" xfId="0" applyNumberFormat="1" applyFill="1" applyBorder="1"/>
    <xf numFmtId="0" fontId="40" fillId="2" borderId="0" xfId="0" applyFont="1" applyFill="1"/>
    <xf numFmtId="0" fontId="0" fillId="2" borderId="0" xfId="0" applyFill="1" applyAlignment="1">
      <alignment horizontal="center"/>
    </xf>
    <xf numFmtId="0" fontId="0" fillId="2" borderId="53" xfId="0" applyFill="1" applyBorder="1"/>
    <xf numFmtId="0" fontId="0" fillId="2" borderId="10" xfId="0" applyFill="1" applyBorder="1"/>
    <xf numFmtId="0" fontId="0" fillId="2" borderId="24" xfId="0" applyFill="1" applyBorder="1"/>
    <xf numFmtId="0" fontId="0" fillId="2" borderId="5" xfId="0" applyFill="1" applyBorder="1"/>
    <xf numFmtId="0" fontId="0" fillId="2" borderId="7" xfId="0" applyFill="1" applyBorder="1"/>
    <xf numFmtId="168" fontId="0" fillId="2" borderId="0" xfId="0" applyNumberFormat="1" applyFill="1" applyBorder="1"/>
    <xf numFmtId="0" fontId="1" fillId="2" borderId="0" xfId="0" applyFont="1" applyFill="1" applyBorder="1"/>
    <xf numFmtId="3" fontId="1" fillId="2" borderId="0" xfId="0" applyNumberFormat="1" applyFont="1" applyFill="1" applyBorder="1" applyAlignment="1">
      <alignment vertical="center"/>
    </xf>
    <xf numFmtId="0" fontId="36" fillId="2" borderId="0" xfId="0" applyFont="1" applyFill="1" applyAlignment="1">
      <alignment vertical="center"/>
    </xf>
    <xf numFmtId="0" fontId="0" fillId="21" borderId="1" xfId="0" applyFill="1" applyBorder="1"/>
    <xf numFmtId="167" fontId="0" fillId="21" borderId="1" xfId="0" applyNumberFormat="1" applyFill="1" applyBorder="1" applyAlignment="1"/>
    <xf numFmtId="172" fontId="0" fillId="2" borderId="0" xfId="48" applyNumberFormat="1" applyFont="1" applyFill="1" applyAlignment="1">
      <alignment horizontal="center"/>
    </xf>
    <xf numFmtId="0" fontId="1" fillId="2" borderId="0" xfId="0" applyFont="1" applyFill="1" applyBorder="1" applyAlignment="1">
      <alignment horizontal="center"/>
    </xf>
    <xf numFmtId="166" fontId="0" fillId="21" borderId="1" xfId="0" applyNumberFormat="1" applyFill="1" applyBorder="1"/>
    <xf numFmtId="4" fontId="0" fillId="2" borderId="0" xfId="0" applyNumberFormat="1" applyFill="1"/>
    <xf numFmtId="174" fontId="19" fillId="2" borderId="0" xfId="0" applyNumberFormat="1" applyFont="1" applyFill="1"/>
    <xf numFmtId="0" fontId="12" fillId="2" borderId="0" xfId="0" applyFont="1" applyFill="1" applyAlignment="1">
      <alignment horizontal="right"/>
    </xf>
    <xf numFmtId="3" fontId="12" fillId="2" borderId="0" xfId="0" applyNumberFormat="1" applyFont="1" applyFill="1"/>
    <xf numFmtId="165" fontId="3" fillId="0" borderId="1" xfId="2" applyNumberFormat="1" applyFont="1" applyFill="1" applyBorder="1" applyAlignment="1">
      <alignment vertical="center"/>
    </xf>
    <xf numFmtId="0" fontId="0" fillId="0" borderId="1" xfId="0" applyFont="1" applyFill="1" applyBorder="1"/>
    <xf numFmtId="0" fontId="1" fillId="2" borderId="0" xfId="0" applyFont="1" applyFill="1" applyBorder="1" applyAlignment="1">
      <alignment horizontal="center"/>
    </xf>
    <xf numFmtId="10" fontId="0" fillId="2" borderId="0" xfId="0" applyNumberFormat="1" applyFont="1" applyFill="1" applyBorder="1"/>
    <xf numFmtId="174" fontId="1" fillId="2" borderId="0" xfId="48" applyNumberFormat="1" applyFont="1" applyFill="1" applyBorder="1" applyAlignment="1">
      <alignment vertical="center"/>
    </xf>
    <xf numFmtId="174" fontId="1" fillId="2" borderId="0" xfId="48" applyNumberFormat="1" applyFont="1" applyFill="1"/>
    <xf numFmtId="0" fontId="0" fillId="2" borderId="0" xfId="0" applyFill="1" applyAlignment="1">
      <alignment horizontal="center"/>
    </xf>
    <xf numFmtId="0" fontId="0" fillId="2" borderId="0" xfId="0" applyFill="1" applyAlignment="1">
      <alignment horizontal="left" indent="4"/>
    </xf>
    <xf numFmtId="0" fontId="1" fillId="2" borderId="0" xfId="0" applyFont="1" applyFill="1" applyBorder="1" applyAlignment="1">
      <alignment horizontal="center"/>
    </xf>
    <xf numFmtId="0" fontId="0" fillId="2" borderId="1" xfId="0" applyFill="1" applyBorder="1" applyAlignment="1">
      <alignment horizontal="center" wrapText="1"/>
    </xf>
    <xf numFmtId="172" fontId="0" fillId="2" borderId="0" xfId="48" applyNumberFormat="1" applyFont="1" applyFill="1" applyAlignment="1">
      <alignment horizontal="right"/>
    </xf>
    <xf numFmtId="172" fontId="0" fillId="2" borderId="0" xfId="48" applyNumberFormat="1" applyFont="1" applyFill="1" applyBorder="1" applyAlignment="1">
      <alignment horizontal="right"/>
    </xf>
    <xf numFmtId="0" fontId="0" fillId="22" borderId="1" xfId="0" applyFill="1" applyBorder="1"/>
    <xf numFmtId="0" fontId="1" fillId="2" borderId="9" xfId="0" applyFont="1" applyFill="1" applyBorder="1" applyAlignment="1">
      <alignment horizontal="center"/>
    </xf>
    <xf numFmtId="0" fontId="0" fillId="2" borderId="0" xfId="0" applyFill="1" applyAlignment="1">
      <alignment horizontal="center"/>
    </xf>
    <xf numFmtId="17" fontId="1" fillId="2" borderId="1" xfId="0" applyNumberFormat="1" applyFont="1" applyFill="1" applyBorder="1" applyAlignment="1">
      <alignment horizontal="center"/>
    </xf>
    <xf numFmtId="17" fontId="0" fillId="2" borderId="0" xfId="0" applyNumberFormat="1" applyFill="1"/>
    <xf numFmtId="17" fontId="0" fillId="2" borderId="0" xfId="0" applyNumberFormat="1" applyFont="1" applyFill="1" applyAlignment="1">
      <alignment horizontal="center"/>
    </xf>
    <xf numFmtId="17" fontId="0" fillId="2" borderId="11" xfId="0" applyNumberFormat="1" applyFont="1" applyFill="1" applyBorder="1" applyAlignment="1">
      <alignment horizontal="center"/>
    </xf>
    <xf numFmtId="17" fontId="0" fillId="2" borderId="8" xfId="0" applyNumberFormat="1" applyFill="1" applyBorder="1" applyAlignment="1">
      <alignment horizontal="center"/>
    </xf>
    <xf numFmtId="17" fontId="0" fillId="2" borderId="0" xfId="0" applyNumberFormat="1" applyFill="1" applyBorder="1" applyAlignment="1">
      <alignment horizontal="center"/>
    </xf>
    <xf numFmtId="17" fontId="0" fillId="2" borderId="8" xfId="0" applyNumberFormat="1" applyFont="1" applyFill="1" applyBorder="1" applyAlignment="1">
      <alignment horizontal="center"/>
    </xf>
    <xf numFmtId="17" fontId="0" fillId="2" borderId="6" xfId="0" applyNumberFormat="1" applyFill="1" applyBorder="1" applyAlignment="1">
      <alignment horizontal="center"/>
    </xf>
    <xf numFmtId="17" fontId="0" fillId="2" borderId="7" xfId="0" applyNumberFormat="1" applyFill="1" applyBorder="1" applyAlignment="1">
      <alignment horizontal="center"/>
    </xf>
    <xf numFmtId="17" fontId="0" fillId="2" borderId="5" xfId="0" applyNumberFormat="1" applyFill="1" applyBorder="1" applyAlignment="1">
      <alignment horizontal="center"/>
    </xf>
    <xf numFmtId="17" fontId="0" fillId="2" borderId="54" xfId="0" applyNumberFormat="1" applyFill="1" applyBorder="1" applyAlignment="1">
      <alignment horizontal="center"/>
    </xf>
    <xf numFmtId="164" fontId="0" fillId="2" borderId="3" xfId="0" applyNumberFormat="1" applyFill="1" applyBorder="1"/>
    <xf numFmtId="17" fontId="0" fillId="2" borderId="3" xfId="0" applyNumberFormat="1" applyFill="1" applyBorder="1" applyAlignment="1">
      <alignment horizontal="center"/>
    </xf>
    <xf numFmtId="17" fontId="0" fillId="2" borderId="25" xfId="0" applyNumberFormat="1" applyFill="1" applyBorder="1" applyAlignment="1">
      <alignment horizontal="center"/>
    </xf>
    <xf numFmtId="17" fontId="0" fillId="2" borderId="19" xfId="0" applyNumberFormat="1" applyFill="1" applyBorder="1" applyAlignment="1">
      <alignment horizontal="center"/>
    </xf>
    <xf numFmtId="17" fontId="0" fillId="2" borderId="70" xfId="0" applyNumberFormat="1" applyFill="1" applyBorder="1" applyAlignment="1">
      <alignment horizontal="center"/>
    </xf>
    <xf numFmtId="3" fontId="0" fillId="2" borderId="70" xfId="0" applyNumberFormat="1" applyFill="1" applyBorder="1"/>
    <xf numFmtId="3" fontId="0" fillId="2" borderId="71" xfId="0" applyNumberFormat="1" applyFill="1" applyBorder="1"/>
    <xf numFmtId="0" fontId="0" fillId="2" borderId="70" xfId="0" applyFill="1" applyBorder="1"/>
    <xf numFmtId="172" fontId="0" fillId="2" borderId="70" xfId="48" applyNumberFormat="1" applyFont="1" applyFill="1" applyBorder="1"/>
    <xf numFmtId="172" fontId="0" fillId="2" borderId="71" xfId="48" applyNumberFormat="1" applyFont="1" applyFill="1" applyBorder="1"/>
    <xf numFmtId="2" fontId="0" fillId="3" borderId="1" xfId="0" applyNumberFormat="1" applyFill="1" applyBorder="1"/>
    <xf numFmtId="0" fontId="0" fillId="2" borderId="0" xfId="0" applyFill="1" applyAlignment="1">
      <alignment horizontal="center"/>
    </xf>
    <xf numFmtId="0" fontId="23" fillId="2" borderId="0" xfId="0" applyFont="1" applyFill="1" applyAlignment="1">
      <alignment horizontal="right"/>
    </xf>
    <xf numFmtId="17" fontId="1" fillId="0" borderId="0" xfId="0" applyNumberFormat="1" applyFont="1" applyAlignment="1">
      <alignment horizontal="center"/>
    </xf>
    <xf numFmtId="0" fontId="0" fillId="2" borderId="0" xfId="0" applyFill="1" applyAlignment="1">
      <alignment horizontal="center"/>
    </xf>
    <xf numFmtId="174" fontId="19" fillId="2" borderId="0" xfId="48" applyNumberFormat="1" applyFont="1" applyFill="1"/>
    <xf numFmtId="17" fontId="1" fillId="2" borderId="2" xfId="0" applyNumberFormat="1" applyFont="1" applyFill="1" applyBorder="1" applyAlignment="1">
      <alignment horizontal="center"/>
    </xf>
    <xf numFmtId="0" fontId="0" fillId="2" borderId="0" xfId="0" applyFill="1" applyAlignment="1">
      <alignment horizontal="center"/>
    </xf>
    <xf numFmtId="172" fontId="0" fillId="23" borderId="0" xfId="0" applyNumberFormat="1" applyFill="1"/>
    <xf numFmtId="0" fontId="0" fillId="23" borderId="0" xfId="0" applyNumberFormat="1" applyFill="1"/>
    <xf numFmtId="172" fontId="0" fillId="23" borderId="0" xfId="48" applyNumberFormat="1" applyFont="1" applyFill="1"/>
    <xf numFmtId="0" fontId="0" fillId="19" borderId="0" xfId="0" applyNumberFormat="1" applyFill="1"/>
    <xf numFmtId="164" fontId="0" fillId="23" borderId="0" xfId="0" applyNumberFormat="1" applyFill="1"/>
    <xf numFmtId="164" fontId="0" fillId="23" borderId="9" xfId="0" applyNumberFormat="1" applyFill="1" applyBorder="1"/>
    <xf numFmtId="174" fontId="0" fillId="23" borderId="0" xfId="0" applyNumberFormat="1" applyFill="1"/>
    <xf numFmtId="164" fontId="0" fillId="23" borderId="8" xfId="0" applyNumberFormat="1" applyFill="1" applyBorder="1"/>
    <xf numFmtId="172" fontId="0" fillId="23" borderId="8" xfId="48" applyNumberFormat="1" applyFont="1" applyFill="1" applyBorder="1"/>
    <xf numFmtId="3" fontId="0" fillId="23" borderId="1" xfId="0" applyNumberFormat="1" applyFill="1" applyBorder="1"/>
    <xf numFmtId="174" fontId="19" fillId="23" borderId="0" xfId="0" applyNumberFormat="1" applyFont="1" applyFill="1"/>
    <xf numFmtId="172" fontId="0" fillId="2" borderId="1" xfId="48" applyNumberFormat="1" applyFont="1" applyFill="1" applyBorder="1"/>
    <xf numFmtId="172" fontId="1" fillId="2" borderId="1" xfId="48" applyNumberFormat="1" applyFont="1" applyFill="1" applyBorder="1"/>
    <xf numFmtId="17" fontId="36" fillId="12" borderId="27" xfId="0" applyNumberFormat="1" applyFont="1" applyFill="1" applyBorder="1" applyAlignment="1" applyProtection="1">
      <alignment horizontal="center" vertical="center"/>
    </xf>
    <xf numFmtId="17" fontId="36" fillId="12" borderId="28" xfId="0" applyNumberFormat="1" applyFont="1" applyFill="1" applyBorder="1" applyAlignment="1" applyProtection="1">
      <alignment horizontal="center" vertical="center"/>
    </xf>
    <xf numFmtId="17" fontId="36" fillId="12" borderId="29" xfId="0" applyNumberFormat="1" applyFont="1" applyFill="1" applyBorder="1" applyAlignment="1" applyProtection="1">
      <alignment horizontal="center" vertical="center"/>
    </xf>
    <xf numFmtId="0" fontId="28" fillId="6" borderId="0" xfId="0" applyFont="1" applyFill="1" applyBorder="1" applyAlignment="1" applyProtection="1">
      <alignment horizontal="right" vertical="center" wrapText="1"/>
    </xf>
    <xf numFmtId="0" fontId="29" fillId="0" borderId="72" xfId="0" applyFont="1" applyFill="1" applyBorder="1" applyAlignment="1" applyProtection="1">
      <alignment horizontal="right" vertical="top"/>
    </xf>
    <xf numFmtId="0" fontId="29" fillId="0" borderId="26" xfId="0" applyFont="1" applyFill="1" applyBorder="1" applyAlignment="1" applyProtection="1">
      <alignment horizontal="right" vertical="top"/>
    </xf>
    <xf numFmtId="0" fontId="29" fillId="0" borderId="8" xfId="0" applyFont="1" applyFill="1" applyBorder="1" applyAlignment="1" applyProtection="1">
      <alignment horizontal="right" vertical="top"/>
    </xf>
    <xf numFmtId="0" fontId="29" fillId="0" borderId="10" xfId="0" applyFont="1" applyFill="1" applyBorder="1" applyAlignment="1" applyProtection="1">
      <alignment horizontal="right" vertical="top"/>
    </xf>
    <xf numFmtId="0" fontId="1" fillId="2" borderId="2" xfId="0" applyFont="1" applyFill="1" applyBorder="1" applyAlignment="1">
      <alignment horizontal="center"/>
    </xf>
    <xf numFmtId="0" fontId="28" fillId="6" borderId="1" xfId="0" applyFont="1" applyFill="1" applyBorder="1" applyAlignment="1" applyProtection="1">
      <alignment horizontal="right" vertical="center" wrapText="1"/>
    </xf>
    <xf numFmtId="0" fontId="0" fillId="2" borderId="0" xfId="0" applyFill="1" applyAlignment="1">
      <alignment horizontal="center"/>
    </xf>
    <xf numFmtId="164" fontId="0" fillId="18" borderId="0" xfId="0" applyNumberFormat="1" applyFill="1"/>
    <xf numFmtId="164" fontId="0" fillId="18" borderId="9" xfId="0" applyNumberFormat="1" applyFill="1" applyBorder="1"/>
    <xf numFmtId="0" fontId="0" fillId="2" borderId="0" xfId="0" applyFont="1" applyFill="1" applyAlignment="1">
      <alignment horizontal="left" indent="1"/>
    </xf>
    <xf numFmtId="0" fontId="0" fillId="2" borderId="0" xfId="0" applyFont="1" applyFill="1" applyAlignment="1">
      <alignment horizontal="left"/>
    </xf>
    <xf numFmtId="0" fontId="0" fillId="2" borderId="0" xfId="0" applyFill="1" applyBorder="1" applyAlignment="1">
      <alignment horizontal="left" indent="1"/>
    </xf>
    <xf numFmtId="172" fontId="0" fillId="2" borderId="0" xfId="48" applyNumberFormat="1" applyFont="1" applyFill="1" applyAlignment="1">
      <alignment horizontal="left" indent="1"/>
    </xf>
    <xf numFmtId="173" fontId="3" fillId="3" borderId="73" xfId="48" applyNumberFormat="1" applyFont="1" applyFill="1" applyBorder="1" applyAlignment="1" applyProtection="1">
      <alignment horizontal="right" vertical="top"/>
      <protection locked="0"/>
    </xf>
    <xf numFmtId="173" fontId="0" fillId="3" borderId="74" xfId="48" applyNumberFormat="1" applyFont="1" applyFill="1" applyBorder="1" applyAlignment="1" applyProtection="1">
      <alignment horizontal="right" vertical="top" wrapText="1"/>
      <protection locked="0"/>
    </xf>
    <xf numFmtId="173" fontId="0" fillId="3" borderId="75" xfId="48" applyNumberFormat="1" applyFont="1" applyFill="1" applyBorder="1" applyAlignment="1" applyProtection="1">
      <alignment horizontal="right" vertical="top" wrapText="1"/>
      <protection locked="0"/>
    </xf>
    <xf numFmtId="173" fontId="0" fillId="3" borderId="76" xfId="48" applyNumberFormat="1" applyFont="1" applyFill="1" applyBorder="1" applyAlignment="1" applyProtection="1">
      <alignment horizontal="right" vertical="top" wrapText="1"/>
      <protection locked="0"/>
    </xf>
    <xf numFmtId="173" fontId="0" fillId="6" borderId="77" xfId="48" applyNumberFormat="1" applyFont="1" applyFill="1" applyBorder="1" applyAlignment="1" applyProtection="1">
      <alignment horizontal="right" vertical="center"/>
    </xf>
    <xf numFmtId="173" fontId="3" fillId="3" borderId="78" xfId="48" applyNumberFormat="1" applyFont="1" applyFill="1" applyBorder="1" applyAlignment="1" applyProtection="1">
      <alignment horizontal="right" vertical="top"/>
      <protection locked="0"/>
    </xf>
    <xf numFmtId="172" fontId="0" fillId="23" borderId="0" xfId="48" applyNumberFormat="1" applyFont="1" applyFill="1" applyAlignment="1">
      <alignment horizontal="left" indent="1"/>
    </xf>
    <xf numFmtId="172" fontId="0" fillId="2" borderId="0" xfId="48" applyNumberFormat="1" applyFont="1" applyFill="1" applyBorder="1" applyAlignment="1">
      <alignment horizontal="left" indent="1"/>
    </xf>
    <xf numFmtId="0" fontId="0" fillId="2" borderId="0" xfId="0" applyFill="1" applyAlignment="1">
      <alignment horizontal="center"/>
    </xf>
    <xf numFmtId="0" fontId="0" fillId="2" borderId="0" xfId="0" applyFont="1" applyFill="1" applyBorder="1" applyAlignment="1">
      <alignment horizontal="left" indent="1"/>
    </xf>
    <xf numFmtId="172" fontId="1" fillId="2" borderId="0" xfId="0" applyNumberFormat="1" applyFont="1" applyFill="1" applyBorder="1"/>
    <xf numFmtId="0" fontId="38" fillId="23" borderId="26" xfId="0" applyFont="1" applyFill="1" applyBorder="1" applyAlignment="1" applyProtection="1"/>
    <xf numFmtId="172" fontId="0" fillId="23" borderId="9" xfId="0" applyNumberFormat="1" applyFill="1" applyBorder="1"/>
    <xf numFmtId="0" fontId="38" fillId="23" borderId="8" xfId="0" applyFont="1" applyFill="1" applyBorder="1" applyAlignment="1" applyProtection="1"/>
    <xf numFmtId="0" fontId="34" fillId="2" borderId="0" xfId="0" applyFont="1" applyFill="1" applyBorder="1" applyAlignment="1" applyProtection="1">
      <alignment horizontal="left"/>
    </xf>
    <xf numFmtId="0" fontId="34" fillId="2" borderId="0" xfId="0" applyFont="1" applyFill="1" applyProtection="1"/>
    <xf numFmtId="167" fontId="1" fillId="2" borderId="0" xfId="0" applyNumberFormat="1" applyFont="1" applyFill="1" applyAlignment="1">
      <alignment horizontal="center"/>
    </xf>
    <xf numFmtId="168" fontId="0" fillId="2" borderId="0" xfId="0" quotePrefix="1" applyNumberFormat="1" applyFill="1"/>
    <xf numFmtId="165" fontId="0" fillId="23" borderId="47" xfId="0" applyNumberFormat="1" applyFill="1" applyBorder="1"/>
    <xf numFmtId="0" fontId="0" fillId="2" borderId="0" xfId="0" applyFill="1" applyAlignment="1">
      <alignment horizontal="center"/>
    </xf>
    <xf numFmtId="175" fontId="0" fillId="2" borderId="0" xfId="0" applyNumberFormat="1" applyFill="1"/>
    <xf numFmtId="0" fontId="12" fillId="0" borderId="1" xfId="0" applyFont="1" applyFill="1" applyBorder="1"/>
    <xf numFmtId="165" fontId="12" fillId="0" borderId="1" xfId="2" applyNumberFormat="1" applyFont="1" applyFill="1" applyBorder="1" applyAlignment="1">
      <alignment vertical="center"/>
    </xf>
    <xf numFmtId="165" fontId="3" fillId="0" borderId="1" xfId="2" applyNumberFormat="1" applyFont="1" applyFill="1" applyBorder="1" applyAlignment="1">
      <alignment horizontal="right" vertical="center"/>
    </xf>
    <xf numFmtId="172" fontId="3" fillId="2" borderId="1" xfId="48" applyNumberFormat="1" applyFont="1" applyFill="1" applyBorder="1"/>
    <xf numFmtId="0" fontId="36" fillId="2" borderId="1" xfId="0" applyFont="1" applyFill="1" applyBorder="1"/>
    <xf numFmtId="172" fontId="0" fillId="2" borderId="1" xfId="0" applyNumberFormat="1" applyFill="1" applyBorder="1"/>
    <xf numFmtId="172" fontId="1" fillId="2" borderId="1" xfId="0" applyNumberFormat="1" applyFont="1" applyFill="1" applyBorder="1"/>
    <xf numFmtId="172" fontId="19" fillId="23" borderId="0" xfId="48" applyNumberFormat="1" applyFont="1" applyFill="1"/>
    <xf numFmtId="172" fontId="19" fillId="23" borderId="70" xfId="48" applyNumberFormat="1" applyFont="1" applyFill="1" applyBorder="1"/>
    <xf numFmtId="0" fontId="1" fillId="2" borderId="5" xfId="0" applyFont="1" applyFill="1" applyBorder="1"/>
    <xf numFmtId="172" fontId="0" fillId="23" borderId="0" xfId="0" applyNumberFormat="1" applyFill="1" applyBorder="1"/>
    <xf numFmtId="0" fontId="14" fillId="2" borderId="15" xfId="0" applyFont="1" applyFill="1" applyBorder="1"/>
    <xf numFmtId="0" fontId="1" fillId="6" borderId="0" xfId="0" applyFont="1" applyFill="1"/>
    <xf numFmtId="3" fontId="0" fillId="6" borderId="0" xfId="0" applyNumberFormat="1" applyFill="1" applyBorder="1"/>
    <xf numFmtId="0" fontId="0" fillId="6" borderId="0" xfId="0" applyFill="1"/>
    <xf numFmtId="0" fontId="1" fillId="2" borderId="0" xfId="0" applyFont="1" applyFill="1" applyAlignment="1">
      <alignment wrapText="1"/>
    </xf>
    <xf numFmtId="165" fontId="0" fillId="2" borderId="21" xfId="2" applyNumberFormat="1" applyFont="1" applyFill="1" applyBorder="1"/>
    <xf numFmtId="17" fontId="0" fillId="2" borderId="21" xfId="0" applyNumberFormat="1" applyFill="1" applyBorder="1" applyAlignment="1">
      <alignment horizontal="center"/>
    </xf>
    <xf numFmtId="17" fontId="0" fillId="2" borderId="79" xfId="0" applyNumberFormat="1" applyFill="1" applyBorder="1" applyAlignment="1">
      <alignment horizontal="center"/>
    </xf>
    <xf numFmtId="17" fontId="0" fillId="2" borderId="53" xfId="0" applyNumberFormat="1" applyFill="1" applyBorder="1" applyAlignment="1">
      <alignment horizontal="center"/>
    </xf>
    <xf numFmtId="172" fontId="0" fillId="2" borderId="54" xfId="48" applyNumberFormat="1" applyFont="1" applyFill="1" applyBorder="1"/>
    <xf numFmtId="172" fontId="0" fillId="2" borderId="24" xfId="48" applyNumberFormat="1" applyFont="1" applyFill="1" applyBorder="1"/>
    <xf numFmtId="172" fontId="0" fillId="2" borderId="71" xfId="0" applyNumberFormat="1" applyFill="1" applyBorder="1"/>
    <xf numFmtId="172" fontId="0" fillId="2" borderId="24" xfId="0" applyNumberFormat="1" applyFill="1" applyBorder="1"/>
    <xf numFmtId="0" fontId="45" fillId="2" borderId="0" xfId="0" quotePrefix="1" applyFont="1" applyFill="1"/>
    <xf numFmtId="0" fontId="12" fillId="2" borderId="0" xfId="0" applyFont="1" applyFill="1" applyAlignment="1">
      <alignment horizontal="left" indent="1"/>
    </xf>
    <xf numFmtId="0" fontId="20" fillId="26" borderId="0" xfId="0" applyFont="1" applyFill="1"/>
    <xf numFmtId="0" fontId="0" fillId="2" borderId="0" xfId="0" applyFill="1" applyBorder="1" applyAlignment="1">
      <alignment horizontal="right"/>
    </xf>
    <xf numFmtId="1" fontId="0" fillId="2" borderId="0" xfId="0" applyNumberFormat="1" applyFill="1" applyBorder="1"/>
    <xf numFmtId="0" fontId="37" fillId="2" borderId="0" xfId="0" applyFont="1" applyFill="1" applyAlignment="1">
      <alignment horizontal="right"/>
    </xf>
    <xf numFmtId="172" fontId="39" fillId="2" borderId="0" xfId="48" applyNumberFormat="1" applyFont="1" applyFill="1"/>
    <xf numFmtId="0" fontId="37" fillId="2" borderId="0" xfId="0" applyFont="1" applyFill="1"/>
    <xf numFmtId="172" fontId="37" fillId="2" borderId="0" xfId="48" applyNumberFormat="1" applyFont="1" applyFill="1"/>
    <xf numFmtId="172" fontId="37" fillId="2" borderId="0" xfId="0" applyNumberFormat="1" applyFont="1" applyFill="1"/>
    <xf numFmtId="0" fontId="37" fillId="2" borderId="0" xfId="0" applyFont="1" applyFill="1" applyAlignment="1">
      <alignment horizontal="center"/>
    </xf>
    <xf numFmtId="172" fontId="39" fillId="2" borderId="0" xfId="0" applyNumberFormat="1" applyFont="1" applyFill="1"/>
    <xf numFmtId="164" fontId="0" fillId="18" borderId="3" xfId="0" applyNumberFormat="1" applyFill="1" applyBorder="1"/>
    <xf numFmtId="164" fontId="0" fillId="18" borderId="4" xfId="0" applyNumberFormat="1" applyFill="1" applyBorder="1"/>
    <xf numFmtId="4" fontId="0" fillId="18" borderId="4" xfId="0" applyNumberFormat="1" applyFill="1" applyBorder="1"/>
    <xf numFmtId="172" fontId="0" fillId="0" borderId="1" xfId="48" applyNumberFormat="1" applyFont="1" applyFill="1" applyBorder="1"/>
    <xf numFmtId="0" fontId="28" fillId="12" borderId="15" xfId="0" applyFont="1" applyFill="1" applyBorder="1" applyAlignment="1">
      <alignment vertical="center" wrapText="1"/>
    </xf>
    <xf numFmtId="0" fontId="28" fillId="12" borderId="25" xfId="0" applyFont="1" applyFill="1" applyBorder="1" applyAlignment="1">
      <alignment vertical="center" wrapText="1"/>
    </xf>
    <xf numFmtId="0" fontId="28" fillId="12" borderId="80" xfId="0" applyFont="1" applyFill="1" applyBorder="1" applyAlignment="1">
      <alignment horizontal="center" vertical="center" wrapText="1"/>
    </xf>
    <xf numFmtId="0" fontId="28" fillId="13" borderId="81" xfId="0" applyFont="1" applyFill="1" applyBorder="1" applyAlignment="1">
      <alignment horizontal="center" vertical="center" wrapText="1"/>
    </xf>
    <xf numFmtId="0" fontId="28" fillId="13" borderId="60" xfId="0" applyFont="1" applyFill="1" applyBorder="1" applyAlignment="1">
      <alignment horizontal="center" vertical="center" wrapText="1"/>
    </xf>
    <xf numFmtId="0" fontId="28" fillId="13" borderId="61" xfId="0" applyFont="1" applyFill="1" applyBorder="1" applyAlignment="1">
      <alignment horizontal="center" vertical="center" wrapText="1"/>
    </xf>
    <xf numFmtId="0" fontId="28" fillId="6" borderId="25" xfId="0" applyFont="1" applyFill="1" applyBorder="1" applyAlignment="1">
      <alignment vertical="center" wrapText="1"/>
    </xf>
    <xf numFmtId="0" fontId="28" fillId="6" borderId="19" xfId="0" applyFont="1" applyFill="1" applyBorder="1" applyAlignment="1">
      <alignment vertical="center" wrapText="1"/>
    </xf>
    <xf numFmtId="172" fontId="0" fillId="23" borderId="1" xfId="48" applyNumberFormat="1" applyFont="1" applyFill="1" applyBorder="1"/>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0" fillId="2" borderId="9" xfId="0" applyFill="1" applyBorder="1" applyAlignment="1">
      <alignment horizontal="center"/>
    </xf>
    <xf numFmtId="0" fontId="1" fillId="0" borderId="0" xfId="0" applyFont="1"/>
    <xf numFmtId="43" fontId="0" fillId="2" borderId="8" xfId="0" applyNumberFormat="1" applyFill="1" applyBorder="1"/>
    <xf numFmtId="43" fontId="0" fillId="2" borderId="54" xfId="0" applyNumberFormat="1" applyFill="1" applyBorder="1"/>
    <xf numFmtId="43" fontId="3" fillId="2" borderId="0" xfId="48" applyFont="1" applyFill="1" applyBorder="1"/>
    <xf numFmtId="43" fontId="0" fillId="2" borderId="0" xfId="48" applyFont="1" applyFill="1" applyBorder="1"/>
    <xf numFmtId="43" fontId="0" fillId="2" borderId="3" xfId="0" applyNumberFormat="1" applyFill="1" applyBorder="1"/>
    <xf numFmtId="174" fontId="1" fillId="2" borderId="0" xfId="0" applyNumberFormat="1" applyFont="1" applyFill="1" applyAlignment="1">
      <alignment horizontal="right"/>
    </xf>
    <xf numFmtId="0" fontId="45" fillId="2" borderId="0" xfId="0" applyFont="1" applyFill="1"/>
    <xf numFmtId="9" fontId="1" fillId="2" borderId="0" xfId="2" applyFont="1" applyFill="1"/>
    <xf numFmtId="43" fontId="45" fillId="2" borderId="0" xfId="0" applyNumberFormat="1" applyFont="1" applyFill="1"/>
    <xf numFmtId="174" fontId="1" fillId="2" borderId="0" xfId="48" applyNumberFormat="1" applyFont="1" applyFill="1" applyAlignment="1">
      <alignment horizontal="center"/>
    </xf>
    <xf numFmtId="0" fontId="0" fillId="2" borderId="10" xfId="0" applyFill="1" applyBorder="1" applyAlignment="1">
      <alignment horizontal="center"/>
    </xf>
    <xf numFmtId="0" fontId="0" fillId="2" borderId="24" xfId="0" applyFill="1" applyBorder="1" applyAlignment="1">
      <alignment horizontal="center"/>
    </xf>
    <xf numFmtId="0" fontId="0" fillId="2" borderId="4" xfId="0" applyFill="1" applyBorder="1" applyAlignment="1">
      <alignment horizontal="center"/>
    </xf>
    <xf numFmtId="174" fontId="0" fillId="2" borderId="53" xfId="48" applyNumberFormat="1" applyFont="1" applyFill="1" applyBorder="1"/>
    <xf numFmtId="174" fontId="0" fillId="2" borderId="8" xfId="0" applyNumberFormat="1" applyFill="1" applyBorder="1"/>
    <xf numFmtId="174" fontId="0" fillId="2" borderId="54" xfId="0" applyNumberFormat="1" applyFill="1" applyBorder="1"/>
    <xf numFmtId="174" fontId="0" fillId="2" borderId="8" xfId="48" applyNumberFormat="1" applyFont="1" applyFill="1" applyBorder="1"/>
    <xf numFmtId="174" fontId="0" fillId="2" borderId="3" xfId="48" applyNumberFormat="1" applyFont="1" applyFill="1" applyBorder="1"/>
    <xf numFmtId="174" fontId="0" fillId="2" borderId="54" xfId="48" applyNumberFormat="1" applyFont="1" applyFill="1" applyBorder="1"/>
    <xf numFmtId="174" fontId="0" fillId="2" borderId="24" xfId="48" applyNumberFormat="1" applyFont="1" applyFill="1" applyBorder="1"/>
    <xf numFmtId="174" fontId="0" fillId="2" borderId="10" xfId="0" applyNumberFormat="1" applyFill="1" applyBorder="1"/>
    <xf numFmtId="174" fontId="0" fillId="2" borderId="9" xfId="0" applyNumberFormat="1" applyFill="1" applyBorder="1"/>
    <xf numFmtId="174" fontId="0" fillId="2" borderId="24" xfId="0" applyNumberFormat="1" applyFill="1" applyBorder="1"/>
    <xf numFmtId="174" fontId="0" fillId="2" borderId="10" xfId="48" applyNumberFormat="1" applyFont="1" applyFill="1" applyBorder="1"/>
    <xf numFmtId="174" fontId="0" fillId="2" borderId="9" xfId="48" applyNumberFormat="1" applyFont="1" applyFill="1" applyBorder="1"/>
    <xf numFmtId="174" fontId="0" fillId="2" borderId="4" xfId="48" applyNumberFormat="1" applyFont="1" applyFill="1" applyBorder="1"/>
    <xf numFmtId="174" fontId="1" fillId="2" borderId="53" xfId="48" applyNumberFormat="1" applyFont="1" applyFill="1" applyBorder="1"/>
    <xf numFmtId="174" fontId="1" fillId="2" borderId="26" xfId="48" applyNumberFormat="1" applyFont="1" applyFill="1" applyBorder="1"/>
    <xf numFmtId="174" fontId="1" fillId="2" borderId="21" xfId="48" applyNumberFormat="1" applyFont="1" applyFill="1" applyBorder="1"/>
    <xf numFmtId="174" fontId="1" fillId="2" borderId="2" xfId="48" applyNumberFormat="1" applyFont="1" applyFill="1" applyBorder="1"/>
    <xf numFmtId="174" fontId="0" fillId="2" borderId="3" xfId="0" applyNumberFormat="1" applyFill="1" applyBorder="1"/>
    <xf numFmtId="174" fontId="0" fillId="2" borderId="0" xfId="48" applyNumberFormat="1" applyFont="1" applyFill="1" applyBorder="1"/>
    <xf numFmtId="43" fontId="0" fillId="2" borderId="1" xfId="48" applyFont="1" applyFill="1" applyBorder="1"/>
    <xf numFmtId="172" fontId="1" fillId="23" borderId="1" xfId="48" applyNumberFormat="1" applyFont="1" applyFill="1" applyBorder="1"/>
    <xf numFmtId="172" fontId="37" fillId="0" borderId="0" xfId="48" applyNumberFormat="1" applyFont="1" applyFill="1"/>
    <xf numFmtId="172" fontId="1" fillId="23" borderId="0" xfId="0" applyNumberFormat="1" applyFont="1" applyFill="1" applyBorder="1"/>
    <xf numFmtId="17" fontId="1" fillId="2" borderId="0" xfId="0" applyNumberFormat="1" applyFont="1" applyFill="1" applyBorder="1" applyAlignment="1">
      <alignment horizontal="center"/>
    </xf>
    <xf numFmtId="172" fontId="1" fillId="2" borderId="0" xfId="48" applyNumberFormat="1" applyFont="1" applyFill="1" applyBorder="1"/>
    <xf numFmtId="174" fontId="1" fillId="2" borderId="7" xfId="0" applyNumberFormat="1" applyFont="1" applyFill="1" applyBorder="1"/>
    <xf numFmtId="174" fontId="1" fillId="2" borderId="5" xfId="0" applyNumberFormat="1" applyFont="1" applyFill="1" applyBorder="1"/>
    <xf numFmtId="174" fontId="1" fillId="2" borderId="6" xfId="0" applyNumberFormat="1" applyFont="1" applyFill="1" applyBorder="1"/>
    <xf numFmtId="174" fontId="1" fillId="2" borderId="1" xfId="48" applyNumberFormat="1" applyFont="1" applyFill="1" applyBorder="1"/>
    <xf numFmtId="174" fontId="1" fillId="2" borderId="5" xfId="48" applyNumberFormat="1" applyFont="1" applyFill="1" applyBorder="1"/>
    <xf numFmtId="174" fontId="1" fillId="2" borderId="6" xfId="48" applyNumberFormat="1" applyFont="1" applyFill="1" applyBorder="1"/>
    <xf numFmtId="174" fontId="1" fillId="2" borderId="7" xfId="48" applyNumberFormat="1" applyFont="1" applyFill="1" applyBorder="1"/>
    <xf numFmtId="0" fontId="43" fillId="2" borderId="0" xfId="0" applyFont="1" applyFill="1"/>
    <xf numFmtId="0" fontId="0" fillId="2" borderId="0" xfId="0" quotePrefix="1" applyFill="1" applyAlignment="1">
      <alignment vertical="center"/>
    </xf>
    <xf numFmtId="0" fontId="12" fillId="0" borderId="0" xfId="0" applyFont="1" applyFill="1"/>
    <xf numFmtId="0" fontId="49" fillId="2" borderId="0" xfId="0" applyFont="1" applyFill="1"/>
    <xf numFmtId="172" fontId="0" fillId="2" borderId="82" xfId="48" applyNumberFormat="1" applyFont="1" applyFill="1" applyBorder="1"/>
    <xf numFmtId="0" fontId="25" fillId="5" borderId="0" xfId="0" applyFont="1" applyFill="1"/>
    <xf numFmtId="0" fontId="25" fillId="9" borderId="0" xfId="0" applyFont="1" applyFill="1"/>
    <xf numFmtId="172" fontId="0" fillId="9" borderId="0" xfId="0" applyNumberFormat="1" applyFill="1"/>
    <xf numFmtId="0" fontId="0" fillId="9" borderId="0" xfId="0" applyFill="1"/>
    <xf numFmtId="3" fontId="0" fillId="10" borderId="0" xfId="0" applyNumberFormat="1" applyFill="1"/>
    <xf numFmtId="3" fontId="0" fillId="10" borderId="70" xfId="0" applyNumberFormat="1" applyFill="1" applyBorder="1"/>
    <xf numFmtId="3" fontId="0" fillId="10" borderId="9" xfId="0" applyNumberFormat="1" applyFill="1" applyBorder="1"/>
    <xf numFmtId="3" fontId="0" fillId="10" borderId="71" xfId="0" applyNumberFormat="1" applyFill="1" applyBorder="1"/>
    <xf numFmtId="3" fontId="0" fillId="10" borderId="0" xfId="0" applyNumberFormat="1" applyFont="1" applyFill="1"/>
    <xf numFmtId="3" fontId="0" fillId="10" borderId="70" xfId="0" applyNumberFormat="1" applyFont="1" applyFill="1" applyBorder="1"/>
    <xf numFmtId="3" fontId="12" fillId="10" borderId="0" xfId="0" applyNumberFormat="1" applyFont="1" applyFill="1"/>
    <xf numFmtId="3" fontId="12" fillId="10" borderId="70" xfId="0" applyNumberFormat="1" applyFont="1" applyFill="1" applyBorder="1"/>
    <xf numFmtId="9" fontId="0" fillId="10" borderId="0" xfId="2" applyFont="1" applyFill="1"/>
    <xf numFmtId="172" fontId="0" fillId="9" borderId="0" xfId="48" applyNumberFormat="1" applyFont="1" applyFill="1"/>
    <xf numFmtId="172" fontId="0" fillId="9" borderId="8" xfId="48" applyNumberFormat="1" applyFont="1" applyFill="1" applyBorder="1"/>
    <xf numFmtId="43" fontId="0" fillId="10" borderId="8" xfId="48" applyFont="1" applyFill="1" applyBorder="1"/>
    <xf numFmtId="43" fontId="0" fillId="10" borderId="0" xfId="48" applyFont="1" applyFill="1"/>
    <xf numFmtId="0" fontId="0" fillId="10" borderId="8" xfId="0" applyFill="1" applyBorder="1"/>
    <xf numFmtId="0" fontId="0" fillId="10" borderId="0" xfId="0" applyFill="1"/>
    <xf numFmtId="172" fontId="0" fillId="10" borderId="8" xfId="48" applyNumberFormat="1" applyFont="1" applyFill="1" applyBorder="1"/>
    <xf numFmtId="172" fontId="0" fillId="10" borderId="0" xfId="48" applyNumberFormat="1" applyFont="1" applyFill="1"/>
    <xf numFmtId="172" fontId="0" fillId="10" borderId="0" xfId="0" applyNumberFormat="1" applyFill="1"/>
    <xf numFmtId="172" fontId="0" fillId="10" borderId="8" xfId="0" applyNumberFormat="1" applyFill="1" applyBorder="1"/>
    <xf numFmtId="172" fontId="0" fillId="10" borderId="0" xfId="48" applyNumberFormat="1" applyFont="1" applyFill="1" applyBorder="1"/>
    <xf numFmtId="172" fontId="0" fillId="10" borderId="10" xfId="48" applyNumberFormat="1" applyFont="1" applyFill="1" applyBorder="1"/>
    <xf numFmtId="172" fontId="0" fillId="10" borderId="9" xfId="48" applyNumberFormat="1" applyFont="1" applyFill="1" applyBorder="1"/>
    <xf numFmtId="172" fontId="1" fillId="10" borderId="0" xfId="0" applyNumberFormat="1" applyFont="1" applyFill="1"/>
    <xf numFmtId="3" fontId="0" fillId="10" borderId="8" xfId="0" applyNumberFormat="1" applyFill="1" applyBorder="1"/>
    <xf numFmtId="172" fontId="19" fillId="10" borderId="0" xfId="48" applyNumberFormat="1" applyFont="1" applyFill="1"/>
    <xf numFmtId="172" fontId="19" fillId="10" borderId="8" xfId="48" applyNumberFormat="1" applyFont="1" applyFill="1" applyBorder="1"/>
    <xf numFmtId="172" fontId="1" fillId="10" borderId="0" xfId="48" applyNumberFormat="1" applyFont="1" applyFill="1"/>
    <xf numFmtId="172" fontId="1" fillId="10" borderId="8" xfId="48" applyNumberFormat="1" applyFont="1" applyFill="1" applyBorder="1"/>
    <xf numFmtId="0" fontId="19" fillId="10" borderId="0" xfId="0" applyFont="1" applyFill="1"/>
    <xf numFmtId="0" fontId="19" fillId="10" borderId="8" xfId="0" applyFont="1" applyFill="1" applyBorder="1"/>
    <xf numFmtId="0" fontId="1" fillId="10" borderId="0" xfId="0" applyFont="1" applyFill="1"/>
    <xf numFmtId="0" fontId="1" fillId="10" borderId="8" xfId="0" applyFont="1" applyFill="1" applyBorder="1"/>
    <xf numFmtId="172" fontId="0" fillId="10" borderId="9" xfId="0" applyNumberFormat="1" applyFill="1" applyBorder="1"/>
    <xf numFmtId="43" fontId="0" fillId="10" borderId="9" xfId="48" applyFont="1" applyFill="1" applyBorder="1"/>
    <xf numFmtId="172" fontId="0" fillId="10" borderId="0" xfId="0" applyNumberFormat="1" applyFill="1" applyBorder="1"/>
    <xf numFmtId="172" fontId="0" fillId="10" borderId="10" xfId="0" applyNumberFormat="1" applyFill="1" applyBorder="1"/>
    <xf numFmtId="0" fontId="0" fillId="10" borderId="0" xfId="0" applyFill="1" applyBorder="1"/>
    <xf numFmtId="43" fontId="0" fillId="10" borderId="10" xfId="48" applyFont="1" applyFill="1" applyBorder="1"/>
    <xf numFmtId="172" fontId="0" fillId="10" borderId="13" xfId="48" applyNumberFormat="1" applyFont="1" applyFill="1" applyBorder="1"/>
    <xf numFmtId="3" fontId="0" fillId="10" borderId="12" xfId="0" applyNumberFormat="1" applyFill="1" applyBorder="1"/>
    <xf numFmtId="3" fontId="0" fillId="10" borderId="11" xfId="0" applyNumberFormat="1" applyFill="1" applyBorder="1"/>
    <xf numFmtId="3" fontId="0" fillId="10" borderId="0" xfId="0" applyNumberFormat="1" applyFill="1" applyBorder="1"/>
    <xf numFmtId="3" fontId="1" fillId="10" borderId="0" xfId="0" applyNumberFormat="1" applyFont="1" applyFill="1"/>
    <xf numFmtId="3" fontId="1" fillId="10" borderId="11" xfId="0" applyNumberFormat="1" applyFont="1" applyFill="1" applyBorder="1"/>
    <xf numFmtId="1" fontId="0" fillId="10" borderId="0" xfId="0" applyNumberFormat="1" applyFill="1"/>
    <xf numFmtId="171" fontId="42" fillId="10" borderId="0" xfId="0" applyNumberFormat="1" applyFont="1" applyFill="1"/>
    <xf numFmtId="171" fontId="0" fillId="10" borderId="0" xfId="0" applyNumberFormat="1" applyFill="1"/>
    <xf numFmtId="0" fontId="0" fillId="10" borderId="9" xfId="0" applyFill="1" applyBorder="1"/>
    <xf numFmtId="0" fontId="0" fillId="10" borderId="9" xfId="0" applyFill="1" applyBorder="1" applyAlignment="1"/>
    <xf numFmtId="0" fontId="0" fillId="10" borderId="9" xfId="0" applyFill="1" applyBorder="1" applyAlignment="1">
      <alignment horizontal="center"/>
    </xf>
    <xf numFmtId="3" fontId="0" fillId="10" borderId="1" xfId="0" applyNumberFormat="1" applyFill="1" applyBorder="1"/>
    <xf numFmtId="164" fontId="0" fillId="10" borderId="1" xfId="0" applyNumberFormat="1" applyFill="1" applyBorder="1"/>
    <xf numFmtId="3" fontId="1" fillId="10" borderId="1" xfId="0" applyNumberFormat="1" applyFont="1" applyFill="1" applyBorder="1"/>
    <xf numFmtId="0" fontId="0" fillId="10" borderId="1" xfId="0" applyFill="1" applyBorder="1"/>
    <xf numFmtId="0" fontId="4" fillId="10" borderId="0" xfId="0" applyFont="1" applyFill="1"/>
    <xf numFmtId="2" fontId="0" fillId="10" borderId="1" xfId="0" applyNumberFormat="1" applyFill="1" applyBorder="1"/>
    <xf numFmtId="3" fontId="18" fillId="2" borderId="0" xfId="0" applyNumberFormat="1" applyFont="1" applyFill="1" applyBorder="1"/>
    <xf numFmtId="0" fontId="50" fillId="2" borderId="0" xfId="0" applyFont="1" applyFill="1"/>
    <xf numFmtId="0" fontId="51" fillId="2" borderId="0" xfId="0" applyFont="1" applyFill="1"/>
    <xf numFmtId="0" fontId="19" fillId="2" borderId="0" xfId="0" applyFont="1" applyFill="1" applyAlignment="1"/>
    <xf numFmtId="3" fontId="0" fillId="22" borderId="1" xfId="0" applyNumberFormat="1" applyFill="1" applyBorder="1"/>
    <xf numFmtId="172" fontId="0" fillId="28" borderId="8" xfId="0" applyNumberFormat="1" applyFill="1" applyBorder="1"/>
    <xf numFmtId="3" fontId="0" fillId="28" borderId="0" xfId="0" applyNumberFormat="1" applyFill="1"/>
    <xf numFmtId="172" fontId="0" fillId="23" borderId="8" xfId="0" applyNumberFormat="1" applyFill="1" applyBorder="1"/>
    <xf numFmtId="3" fontId="1" fillId="23" borderId="1" xfId="0" applyNumberFormat="1" applyFont="1" applyFill="1" applyBorder="1"/>
    <xf numFmtId="165" fontId="0" fillId="23" borderId="0" xfId="2" applyNumberFormat="1" applyFont="1" applyFill="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20" fillId="10" borderId="0" xfId="0" applyFont="1" applyFill="1" applyAlignment="1">
      <alignment horizontal="center"/>
    </xf>
    <xf numFmtId="0" fontId="0" fillId="2" borderId="0" xfId="0" applyFill="1" applyAlignment="1">
      <alignment wrapText="1"/>
    </xf>
    <xf numFmtId="0" fontId="32" fillId="27" borderId="0" xfId="0" applyFont="1" applyFill="1" applyAlignment="1">
      <alignment horizontal="center"/>
    </xf>
    <xf numFmtId="0" fontId="20" fillId="26" borderId="0" xfId="0" applyFont="1" applyFill="1" applyAlignment="1">
      <alignment horizontal="center"/>
    </xf>
    <xf numFmtId="0" fontId="44" fillId="25" borderId="0" xfId="0" applyFont="1" applyFill="1" applyAlignment="1">
      <alignment horizontal="center"/>
    </xf>
    <xf numFmtId="0" fontId="20" fillId="25" borderId="0" xfId="0" applyFont="1" applyFill="1" applyAlignment="1">
      <alignment horizontal="center"/>
    </xf>
    <xf numFmtId="0" fontId="20" fillId="24" borderId="0" xfId="0" applyFont="1" applyFill="1" applyAlignment="1">
      <alignment horizontal="center"/>
    </xf>
    <xf numFmtId="0" fontId="44" fillId="24" borderId="0" xfId="0" applyFont="1" applyFill="1" applyAlignment="1">
      <alignment horizontal="center"/>
    </xf>
    <xf numFmtId="0" fontId="36" fillId="20" borderId="5" xfId="0" applyFont="1" applyFill="1" applyBorder="1" applyAlignment="1">
      <alignment horizontal="center"/>
    </xf>
    <xf numFmtId="0" fontId="36" fillId="20" borderId="6" xfId="0" applyFont="1" applyFill="1" applyBorder="1" applyAlignment="1">
      <alignment horizontal="center"/>
    </xf>
    <xf numFmtId="0" fontId="36" fillId="20" borderId="7"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0" borderId="5" xfId="0" applyFont="1" applyFill="1" applyBorder="1" applyAlignment="1">
      <alignment horizontal="center"/>
    </xf>
    <xf numFmtId="0" fontId="1" fillId="20" borderId="6" xfId="0" applyFont="1" applyFill="1" applyBorder="1" applyAlignment="1">
      <alignment horizontal="center"/>
    </xf>
    <xf numFmtId="0" fontId="1" fillId="20" borderId="7" xfId="0" applyFont="1" applyFill="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28" fillId="12" borderId="5" xfId="0" applyFont="1" applyFill="1" applyBorder="1" applyAlignment="1" applyProtection="1">
      <alignment horizontal="center" vertical="center" wrapText="1"/>
    </xf>
    <xf numFmtId="0" fontId="28" fillId="12" borderId="6" xfId="0" applyFont="1" applyFill="1" applyBorder="1" applyAlignment="1" applyProtection="1">
      <alignment horizontal="center" vertical="center" wrapText="1"/>
    </xf>
    <xf numFmtId="0" fontId="28" fillId="12" borderId="7" xfId="0" applyFont="1" applyFill="1" applyBorder="1" applyAlignment="1" applyProtection="1">
      <alignment horizontal="center" vertical="center" wrapText="1"/>
    </xf>
    <xf numFmtId="0" fontId="35" fillId="12" borderId="17" xfId="0" applyFont="1" applyFill="1" applyBorder="1" applyAlignment="1" applyProtection="1">
      <alignment horizontal="center" vertical="center" wrapText="1"/>
    </xf>
    <xf numFmtId="0" fontId="35" fillId="12" borderId="18" xfId="0" applyFont="1" applyFill="1" applyBorder="1" applyAlignment="1" applyProtection="1">
      <alignment horizontal="center" vertical="center" wrapText="1"/>
    </xf>
    <xf numFmtId="0" fontId="35" fillId="12" borderId="42" xfId="0" applyFont="1" applyFill="1" applyBorder="1" applyAlignment="1" applyProtection="1">
      <alignment horizontal="center" vertical="center" wrapText="1"/>
    </xf>
    <xf numFmtId="0" fontId="0" fillId="2" borderId="9" xfId="0" applyFill="1" applyBorder="1" applyAlignment="1">
      <alignment horizontal="center"/>
    </xf>
    <xf numFmtId="0" fontId="31" fillId="11" borderId="17" xfId="0" applyFont="1" applyFill="1" applyBorder="1" applyAlignment="1">
      <alignment horizontal="right" vertical="center"/>
    </xf>
    <xf numFmtId="0" fontId="31" fillId="11" borderId="42" xfId="0" applyFont="1" applyFill="1" applyBorder="1" applyAlignment="1">
      <alignment horizontal="right" vertical="center"/>
    </xf>
    <xf numFmtId="0" fontId="27" fillId="2" borderId="15" xfId="0" applyFont="1" applyFill="1" applyBorder="1" applyAlignment="1">
      <alignment horizontal="left" vertical="center" wrapText="1"/>
    </xf>
    <xf numFmtId="0" fontId="27" fillId="2" borderId="16" xfId="0" applyFont="1" applyFill="1" applyBorder="1" applyAlignment="1">
      <alignment horizontal="left" vertical="center" wrapText="1"/>
    </xf>
    <xf numFmtId="0" fontId="27" fillId="2" borderId="23" xfId="0" applyFont="1" applyFill="1" applyBorder="1" applyAlignment="1">
      <alignment horizontal="left" vertical="center" wrapText="1"/>
    </xf>
    <xf numFmtId="0" fontId="27" fillId="2" borderId="24" xfId="0" applyFont="1" applyFill="1" applyBorder="1" applyAlignment="1">
      <alignment horizontal="left" vertical="center" wrapText="1"/>
    </xf>
    <xf numFmtId="0" fontId="28" fillId="11" borderId="20" xfId="0" applyFont="1" applyFill="1" applyBorder="1" applyAlignment="1">
      <alignment horizontal="center" vertical="center" wrapText="1"/>
    </xf>
    <xf numFmtId="0" fontId="28" fillId="11" borderId="21" xfId="0" applyFont="1" applyFill="1" applyBorder="1" applyAlignment="1">
      <alignment horizontal="center" vertical="center" wrapText="1"/>
    </xf>
    <xf numFmtId="0" fontId="28" fillId="11" borderId="22" xfId="0" applyFont="1" applyFill="1" applyBorder="1" applyAlignment="1">
      <alignment horizontal="center" vertical="center" wrapText="1"/>
    </xf>
    <xf numFmtId="0" fontId="28" fillId="13" borderId="17" xfId="0" applyFont="1" applyFill="1" applyBorder="1" applyAlignment="1">
      <alignment horizontal="center" vertical="center" wrapText="1"/>
    </xf>
    <xf numFmtId="0" fontId="28" fillId="13" borderId="18" xfId="0" applyFont="1" applyFill="1" applyBorder="1" applyAlignment="1">
      <alignment horizontal="center" vertical="center" wrapText="1"/>
    </xf>
    <xf numFmtId="0" fontId="28" fillId="13" borderId="42" xfId="0" applyFont="1" applyFill="1" applyBorder="1" applyAlignment="1">
      <alignment horizontal="center" vertical="center" wrapText="1"/>
    </xf>
    <xf numFmtId="0" fontId="28" fillId="6" borderId="17" xfId="0" applyFont="1" applyFill="1" applyBorder="1" applyAlignment="1">
      <alignment horizontal="center" vertical="center" wrapText="1"/>
    </xf>
    <xf numFmtId="0" fontId="28" fillId="6" borderId="18" xfId="0" applyFont="1" applyFill="1" applyBorder="1" applyAlignment="1">
      <alignment horizontal="center" vertical="center" wrapText="1"/>
    </xf>
    <xf numFmtId="0" fontId="18" fillId="2" borderId="0" xfId="0" applyFont="1" applyFill="1" applyAlignment="1">
      <alignment horizontal="center"/>
    </xf>
    <xf numFmtId="0" fontId="18" fillId="2" borderId="0" xfId="0" applyFont="1" applyFill="1" applyAlignment="1">
      <alignment horizontal="left" indent="1"/>
    </xf>
    <xf numFmtId="0" fontId="41" fillId="0" borderId="0" xfId="0" applyFont="1"/>
    <xf numFmtId="164" fontId="0" fillId="29" borderId="0" xfId="0" applyNumberFormat="1" applyFill="1"/>
    <xf numFmtId="0" fontId="0" fillId="28" borderId="0" xfId="0" applyFill="1"/>
    <xf numFmtId="43" fontId="0" fillId="23" borderId="0" xfId="48" applyFont="1" applyFill="1"/>
  </cellXfs>
  <cellStyles count="50">
    <cellStyle name="Comma" xfId="48" builtinId="3"/>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Hyperlink" xfId="1" builtinId="8"/>
    <cellStyle name="Normal" xfId="0" builtinId="0"/>
    <cellStyle name="Normal 88" xfId="3" xr:uid="{00000000-0005-0000-0000-00002F000000}"/>
    <cellStyle name="Percent" xfId="2" builtinId="5"/>
    <cellStyle name="TableLvl3" xfId="49" xr:uid="{00000000-0005-0000-0000-000031000000}"/>
  </cellStyles>
  <dxfs count="0"/>
  <tableStyles count="0" defaultTableStyle="TableStyleMedium2" defaultPivotStyle="PivotStyleLight16"/>
  <colors>
    <mruColors>
      <color rgb="FFFFFF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AU" sz="1200"/>
              <a:t>Standard Control Capitalised Overheads </a:t>
            </a:r>
            <a:r>
              <a:rPr lang="en-AU" sz="1200" baseline="0"/>
              <a:t>- $m, $Jun 2021</a:t>
            </a:r>
            <a:endParaRPr lang="en-AU" sz="1200"/>
          </a:p>
        </c:rich>
      </c:tx>
      <c:layout>
        <c:manualLayout>
          <c:xMode val="edge"/>
          <c:yMode val="edge"/>
          <c:x val="0.25755382849686265"/>
          <c:y val="4.4543696620233102E-2"/>
        </c:manualLayout>
      </c:layout>
      <c:overlay val="1"/>
    </c:title>
    <c:autoTitleDeleted val="0"/>
    <c:plotArea>
      <c:layout/>
      <c:barChart>
        <c:barDir val="col"/>
        <c:grouping val="clustered"/>
        <c:varyColors val="0"/>
        <c:ser>
          <c:idx val="0"/>
          <c:order val="0"/>
          <c:tx>
            <c:v>Actual / Forecast Overheads</c:v>
          </c:tx>
          <c:invertIfNegative val="0"/>
          <c:dPt>
            <c:idx val="0"/>
            <c:invertIfNegative val="0"/>
            <c:bubble3D val="0"/>
            <c:spPr>
              <a:solidFill>
                <a:schemeClr val="accent5">
                  <a:lumMod val="60000"/>
                  <a:lumOff val="40000"/>
                </a:schemeClr>
              </a:solidFill>
            </c:spPr>
            <c:extLst>
              <c:ext xmlns:c16="http://schemas.microsoft.com/office/drawing/2014/chart" uri="{C3380CC4-5D6E-409C-BE32-E72D297353CC}">
                <c16:uniqueId val="{00000001-3BD1-4647-ADA8-543413145A55}"/>
              </c:ext>
            </c:extLst>
          </c:dPt>
          <c:dPt>
            <c:idx val="1"/>
            <c:invertIfNegative val="0"/>
            <c:bubble3D val="0"/>
            <c:spPr>
              <a:solidFill>
                <a:schemeClr val="accent5">
                  <a:lumMod val="60000"/>
                  <a:lumOff val="40000"/>
                </a:schemeClr>
              </a:solidFill>
            </c:spPr>
            <c:extLst>
              <c:ext xmlns:c16="http://schemas.microsoft.com/office/drawing/2014/chart" uri="{C3380CC4-5D6E-409C-BE32-E72D297353CC}">
                <c16:uniqueId val="{00000003-3BD1-4647-ADA8-543413145A55}"/>
              </c:ext>
            </c:extLst>
          </c:dPt>
          <c:dPt>
            <c:idx val="2"/>
            <c:invertIfNegative val="0"/>
            <c:bubble3D val="0"/>
            <c:spPr>
              <a:solidFill>
                <a:schemeClr val="accent5">
                  <a:lumMod val="60000"/>
                  <a:lumOff val="40000"/>
                </a:schemeClr>
              </a:solidFill>
            </c:spPr>
            <c:extLst>
              <c:ext xmlns:c16="http://schemas.microsoft.com/office/drawing/2014/chart" uri="{C3380CC4-5D6E-409C-BE32-E72D297353CC}">
                <c16:uniqueId val="{00000005-3BD1-4647-ADA8-543413145A55}"/>
              </c:ext>
            </c:extLst>
          </c:dPt>
          <c:cat>
            <c:strRef>
              <c:f>AusNet_Overheads!$S$7:$AC$7</c:f>
              <c:strCache>
                <c:ptCount val="11"/>
                <c:pt idx="0">
                  <c:v>CY16</c:v>
                </c:pt>
                <c:pt idx="1">
                  <c:v>CY17</c:v>
                </c:pt>
                <c:pt idx="2">
                  <c:v>CY18</c:v>
                </c:pt>
                <c:pt idx="3">
                  <c:v>CY19</c:v>
                </c:pt>
                <c:pt idx="4">
                  <c:v>CY20</c:v>
                </c:pt>
                <c:pt idx="5">
                  <c:v>Stub</c:v>
                </c:pt>
                <c:pt idx="6">
                  <c:v>FY22</c:v>
                </c:pt>
                <c:pt idx="7">
                  <c:v>FY23</c:v>
                </c:pt>
                <c:pt idx="8">
                  <c:v>FY24</c:v>
                </c:pt>
                <c:pt idx="9">
                  <c:v>FY25</c:v>
                </c:pt>
                <c:pt idx="10">
                  <c:v>FY26</c:v>
                </c:pt>
              </c:strCache>
            </c:strRef>
          </c:cat>
          <c:val>
            <c:numRef>
              <c:f>AusNet_Overheads!$S$8:$AC$8</c:f>
              <c:numCache>
                <c:formatCode>_-* #,##0.0_-;\-* #,##0.0_-;_-* "-"??_-;_-@_-</c:formatCode>
                <c:ptCount val="11"/>
                <c:pt idx="0">
                  <c:v>34.247584520930246</c:v>
                </c:pt>
                <c:pt idx="1">
                  <c:v>37.929734302340535</c:v>
                </c:pt>
                <c:pt idx="2">
                  <c:v>35.747171408232987</c:v>
                </c:pt>
                <c:pt idx="3">
                  <c:v>32.730420912295308</c:v>
                </c:pt>
                <c:pt idx="4">
                  <c:v>30.7271723242017</c:v>
                </c:pt>
                <c:pt idx="5">
                  <c:v>15.092491611615886</c:v>
                </c:pt>
                <c:pt idx="6">
                  <c:v>29.831449975550775</c:v>
                </c:pt>
                <c:pt idx="7">
                  <c:v>29.325064710845172</c:v>
                </c:pt>
                <c:pt idx="8">
                  <c:v>29.325064710845172</c:v>
                </c:pt>
                <c:pt idx="9">
                  <c:v>29.325064710845172</c:v>
                </c:pt>
                <c:pt idx="10">
                  <c:v>29.325064710845172</c:v>
                </c:pt>
              </c:numCache>
            </c:numRef>
          </c:val>
          <c:extLst>
            <c:ext xmlns:c16="http://schemas.microsoft.com/office/drawing/2014/chart" uri="{C3380CC4-5D6E-409C-BE32-E72D297353CC}">
              <c16:uniqueId val="{00000006-3BD1-4647-ADA8-543413145A55}"/>
            </c:ext>
          </c:extLst>
        </c:ser>
        <c:dLbls>
          <c:showLegendKey val="0"/>
          <c:showVal val="0"/>
          <c:showCatName val="0"/>
          <c:showSerName val="0"/>
          <c:showPercent val="0"/>
          <c:showBubbleSize val="0"/>
        </c:dLbls>
        <c:gapWidth val="150"/>
        <c:axId val="498873088"/>
        <c:axId val="498875008"/>
      </c:barChart>
      <c:catAx>
        <c:axId val="498873088"/>
        <c:scaling>
          <c:orientation val="minMax"/>
        </c:scaling>
        <c:delete val="0"/>
        <c:axPos val="b"/>
        <c:numFmt formatCode="General" sourceLinked="0"/>
        <c:majorTickMark val="out"/>
        <c:minorTickMark val="none"/>
        <c:tickLblPos val="nextTo"/>
        <c:crossAx val="498875008"/>
        <c:crosses val="autoZero"/>
        <c:auto val="1"/>
        <c:lblAlgn val="ctr"/>
        <c:lblOffset val="100"/>
        <c:noMultiLvlLbl val="0"/>
      </c:catAx>
      <c:valAx>
        <c:axId val="498875008"/>
        <c:scaling>
          <c:orientation val="minMax"/>
        </c:scaling>
        <c:delete val="0"/>
        <c:axPos val="l"/>
        <c:majorGridlines/>
        <c:numFmt formatCode="_-* #,##0.0_-;\-* #,##0.0_-;_-* &quot;-&quot;??_-;_-@_-" sourceLinked="1"/>
        <c:majorTickMark val="out"/>
        <c:minorTickMark val="none"/>
        <c:tickLblPos val="nextTo"/>
        <c:crossAx val="49887308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1666875</xdr:colOff>
      <xdr:row>0</xdr:row>
      <xdr:rowOff>0</xdr:rowOff>
    </xdr:from>
    <xdr:to>
      <xdr:col>3</xdr:col>
      <xdr:colOff>2898374</xdr:colOff>
      <xdr:row>4</xdr:row>
      <xdr:rowOff>11120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2543175" y="0"/>
          <a:ext cx="1231499" cy="816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89535</xdr:colOff>
      <xdr:row>34</xdr:row>
      <xdr:rowOff>47625</xdr:rowOff>
    </xdr:from>
    <xdr:to>
      <xdr:col>21</xdr:col>
      <xdr:colOff>546735</xdr:colOff>
      <xdr:row>40</xdr:row>
      <xdr:rowOff>152400</xdr:rowOff>
    </xdr:to>
    <xdr:sp macro="" textlink="">
      <xdr:nvSpPr>
        <xdr:cNvPr id="2" name="Right Brace 1">
          <a:extLst>
            <a:ext uri="{FF2B5EF4-FFF2-40B4-BE49-F238E27FC236}">
              <a16:creationId xmlns:a16="http://schemas.microsoft.com/office/drawing/2014/main" id="{00000000-0008-0000-0400-000002000000}"/>
            </a:ext>
          </a:extLst>
        </xdr:cNvPr>
        <xdr:cNvSpPr/>
      </xdr:nvSpPr>
      <xdr:spPr>
        <a:xfrm>
          <a:off x="11580495" y="5564505"/>
          <a:ext cx="457200" cy="12096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2089354</xdr:colOff>
      <xdr:row>9</xdr:row>
      <xdr:rowOff>139290</xdr:rowOff>
    </xdr:from>
    <xdr:to>
      <xdr:col>26</xdr:col>
      <xdr:colOff>393291</xdr:colOff>
      <xdr:row>27</xdr:row>
      <xdr:rowOff>12341</xdr:rowOff>
    </xdr:to>
    <xdr:graphicFrame macro="">
      <xdr:nvGraphicFramePr>
        <xdr:cNvPr id="9" name="Chart 8">
          <a:extLst>
            <a:ext uri="{FF2B5EF4-FFF2-40B4-BE49-F238E27FC236}">
              <a16:creationId xmlns:a16="http://schemas.microsoft.com/office/drawing/2014/main" id="{00000000-0008-0000-1F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12</xdr:col>
      <xdr:colOff>89647</xdr:colOff>
      <xdr:row>6</xdr:row>
      <xdr:rowOff>134471</xdr:rowOff>
    </xdr:from>
    <xdr:to>
      <xdr:col>18</xdr:col>
      <xdr:colOff>277906</xdr:colOff>
      <xdr:row>12</xdr:row>
      <xdr:rowOff>116541</xdr:rowOff>
    </xdr:to>
    <xdr:sp macro="" textlink="">
      <xdr:nvSpPr>
        <xdr:cNvPr id="2" name="TextBox 1">
          <a:extLst>
            <a:ext uri="{FF2B5EF4-FFF2-40B4-BE49-F238E27FC236}">
              <a16:creationId xmlns:a16="http://schemas.microsoft.com/office/drawing/2014/main" id="{CE8E1C1E-3F33-4314-98B8-543E0F916126}"/>
            </a:ext>
          </a:extLst>
        </xdr:cNvPr>
        <xdr:cNvSpPr txBox="1"/>
      </xdr:nvSpPr>
      <xdr:spPr>
        <a:xfrm>
          <a:off x="8319247" y="1264024"/>
          <a:ext cx="3845859" cy="10578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t>Note, our Tranche 3 (T3) forecasts for FY22 and FY23 are set to the direct capital</a:t>
          </a:r>
          <a:r>
            <a:rPr lang="en-AU" sz="1100" baseline="0"/>
            <a:t> expenditure </a:t>
          </a:r>
          <a:r>
            <a:rPr lang="en-AU" sz="1100"/>
            <a:t>allowances in the CPA3 AER final decision, escalated to real $Jun 2021.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57150</xdr:colOff>
      <xdr:row>22</xdr:row>
      <xdr:rowOff>171451</xdr:rowOff>
    </xdr:from>
    <xdr:to>
      <xdr:col>8</xdr:col>
      <xdr:colOff>76200</xdr:colOff>
      <xdr:row>28</xdr:row>
      <xdr:rowOff>17931</xdr:rowOff>
    </xdr:to>
    <xdr:sp macro="" textlink="">
      <xdr:nvSpPr>
        <xdr:cNvPr id="2" name="TextBox 1">
          <a:extLst>
            <a:ext uri="{FF2B5EF4-FFF2-40B4-BE49-F238E27FC236}">
              <a16:creationId xmlns:a16="http://schemas.microsoft.com/office/drawing/2014/main" id="{00000000-0008-0000-2B00-000002000000}"/>
            </a:ext>
          </a:extLst>
        </xdr:cNvPr>
        <xdr:cNvSpPr txBox="1"/>
      </xdr:nvSpPr>
      <xdr:spPr>
        <a:xfrm>
          <a:off x="684679" y="4115922"/>
          <a:ext cx="7728697" cy="9222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u="sng"/>
            <a:t>Note: -</a:t>
          </a:r>
          <a:endParaRPr lang="en-AU" sz="1100" b="1"/>
        </a:p>
        <a:p>
          <a:r>
            <a:rPr lang="en-AU" sz="1100"/>
            <a:t>The forecasts provided in</a:t>
          </a:r>
          <a:r>
            <a:rPr lang="en-AU" sz="1100" baseline="0"/>
            <a:t> the above tables reflects AusNet Services' </a:t>
          </a:r>
          <a:r>
            <a:rPr lang="en-AU" sz="1100" baseline="0">
              <a:solidFill>
                <a:schemeClr val="dk1"/>
              </a:solidFill>
              <a:effectLst/>
              <a:latin typeface="+mn-lt"/>
              <a:ea typeface="+mn-ea"/>
              <a:cs typeface="+mn-cs"/>
            </a:rPr>
            <a:t>approach used</a:t>
          </a:r>
          <a:r>
            <a:rPr lang="en-AU" sz="1100"/>
            <a:t> in preparing</a:t>
          </a:r>
          <a:r>
            <a:rPr lang="en-AU" sz="1100" baseline="0"/>
            <a:t> </a:t>
          </a:r>
          <a:r>
            <a:rPr lang="en-AU" sz="1100"/>
            <a:t>the annual reporting RIN -</a:t>
          </a:r>
          <a:r>
            <a:rPr lang="en-AU" sz="1100" baseline="0"/>
            <a:t> 2.11 Labour </a:t>
          </a:r>
          <a:r>
            <a:rPr lang="en-AU" sz="1100"/>
            <a:t>for capitalised labour costs</a:t>
          </a:r>
          <a:r>
            <a:rPr lang="en-AU" sz="1100" baseline="0"/>
            <a:t> (including direct and indirect labour).</a:t>
          </a:r>
          <a:endParaRPr lang="en-AU" sz="1100"/>
        </a:p>
        <a:p>
          <a:endParaRPr lang="en-AU" sz="1100"/>
        </a:p>
        <a:p>
          <a:endParaRPr lang="en-AU"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set%20RIN/Final%20RIN%20update%20Jan%202015/Victorian%20DNSP%202016-20%20-%20Reset%20RIN%20templates%20-%20January%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structions"/>
      <sheetName val="1.0 Business &amp; other details"/>
      <sheetName val="2.1 Expenditure summary"/>
      <sheetName val="2.2 Repex"/>
      <sheetName val="2.3 Augex"/>
      <sheetName val="2.4 Augex model"/>
      <sheetName val="2.5 Connections"/>
      <sheetName val="2.6 Non-network"/>
      <sheetName val="2.10 Overheads"/>
      <sheetName val="2.11 Labour"/>
      <sheetName val="2.12 Input tables"/>
      <sheetName val="2.13 Provisions"/>
      <sheetName val="2.14 Forecast price changes"/>
      <sheetName val="2.15 Insurance &amp; Self-insurance"/>
      <sheetName val="2.16 Opex Summary"/>
      <sheetName val="2.17 Step Changes"/>
      <sheetName val="3.1 Revenue"/>
      <sheetName val="3.2 Operating expenditure"/>
      <sheetName val="3.3 Assets (RAB)"/>
      <sheetName val="3.4 Operational data"/>
      <sheetName val="3.5 Physical assets"/>
      <sheetName val="3.6 Quality of service"/>
      <sheetName val="3.7 Operating Environment"/>
      <sheetName val="4.1 Public lighting"/>
      <sheetName val="4.2 Metering"/>
      <sheetName val="4.3 Fee-based services"/>
      <sheetName val="4.4 Quoted services."/>
      <sheetName val="5.3 MD - Network level"/>
      <sheetName val="5.4 MD &amp; utilisation-Spatial"/>
      <sheetName val="6.1 Telephone answering"/>
      <sheetName val="6.2 Reliability &amp; Cust serv"/>
      <sheetName val="6.4 Historical MEDs"/>
      <sheetName val="7.1  Policies and Procedures"/>
      <sheetName val="7.2 Contingent projects"/>
      <sheetName val="7.3 Obligations"/>
      <sheetName val="7.4 Shared Assets"/>
      <sheetName val="7.5 EBSS"/>
      <sheetName val="7.6 Indicative bill impact"/>
      <sheetName val="Unprotected Worksheet"/>
    </sheetNames>
    <sheetDataSet>
      <sheetData sheetId="0"/>
      <sheetData sheetId="1"/>
      <sheetData sheetId="2">
        <row r="35">
          <cell r="C35" t="str">
            <v>2016</v>
          </cell>
          <cell r="D35" t="str">
            <v>2017</v>
          </cell>
          <cell r="E35" t="str">
            <v>2018</v>
          </cell>
          <cell r="F35" t="str">
            <v>2019</v>
          </cell>
          <cell r="G35" t="str">
            <v>2020</v>
          </cell>
        </row>
        <row r="38">
          <cell r="G38" t="str">
            <v>2015</v>
          </cell>
        </row>
        <row r="55">
          <cell r="C55" t="str">
            <v>December 2015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22.bin"/><Relationship Id="rId4" Type="http://schemas.openxmlformats.org/officeDocument/2006/relationships/comments" Target="../comments4.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6D7-BDCA-4BA8-91AB-CEF8CE42F9F2}">
  <sheetPr>
    <tabColor rgb="FF92D050"/>
  </sheetPr>
  <dimension ref="B1:D42"/>
  <sheetViews>
    <sheetView tabSelected="1" zoomScale="85" zoomScaleNormal="85" workbookViewId="0"/>
  </sheetViews>
  <sheetFormatPr defaultRowHeight="14.4" x14ac:dyDescent="0.3"/>
  <cols>
    <col min="1" max="1" width="3.109375" customWidth="1"/>
    <col min="2" max="2" width="20.77734375" customWidth="1"/>
    <col min="3" max="3" width="93.33203125" customWidth="1"/>
    <col min="4" max="4" width="60.5546875" bestFit="1" customWidth="1"/>
  </cols>
  <sheetData>
    <row r="1" spans="2:4" x14ac:dyDescent="0.3">
      <c r="B1" s="642" t="s">
        <v>796</v>
      </c>
    </row>
    <row r="2" spans="2:4" x14ac:dyDescent="0.3">
      <c r="B2" s="468"/>
    </row>
    <row r="3" spans="2:4" x14ac:dyDescent="0.3">
      <c r="B3" t="s">
        <v>783</v>
      </c>
    </row>
    <row r="4" spans="2:4" x14ac:dyDescent="0.3">
      <c r="B4" s="468" t="s">
        <v>765</v>
      </c>
      <c r="C4" s="468" t="s">
        <v>766</v>
      </c>
      <c r="D4" s="468" t="s">
        <v>793</v>
      </c>
    </row>
    <row r="5" spans="2:4" x14ac:dyDescent="0.3">
      <c r="B5" t="s">
        <v>10</v>
      </c>
      <c r="C5" t="s">
        <v>782</v>
      </c>
    </row>
    <row r="6" spans="2:4" x14ac:dyDescent="0.3">
      <c r="B6" t="s">
        <v>758</v>
      </c>
      <c r="C6" t="s">
        <v>782</v>
      </c>
    </row>
    <row r="7" spans="2:4" x14ac:dyDescent="0.3">
      <c r="B7" t="s">
        <v>759</v>
      </c>
      <c r="C7" t="s">
        <v>770</v>
      </c>
    </row>
    <row r="8" spans="2:4" x14ac:dyDescent="0.3">
      <c r="B8" t="s">
        <v>760</v>
      </c>
      <c r="C8" t="s">
        <v>782</v>
      </c>
    </row>
    <row r="9" spans="2:4" x14ac:dyDescent="0.3">
      <c r="B9" t="s">
        <v>761</v>
      </c>
      <c r="C9" t="s">
        <v>782</v>
      </c>
    </row>
    <row r="10" spans="2:4" x14ac:dyDescent="0.3">
      <c r="B10" t="s">
        <v>410</v>
      </c>
      <c r="C10" t="s">
        <v>782</v>
      </c>
    </row>
    <row r="11" spans="2:4" x14ac:dyDescent="0.3">
      <c r="B11" t="s">
        <v>607</v>
      </c>
      <c r="C11" t="s">
        <v>782</v>
      </c>
      <c r="D11" t="s">
        <v>794</v>
      </c>
    </row>
    <row r="12" spans="2:4" x14ac:dyDescent="0.3">
      <c r="B12" s="130" t="s">
        <v>762</v>
      </c>
      <c r="C12" t="s">
        <v>782</v>
      </c>
      <c r="D12" t="s">
        <v>794</v>
      </c>
    </row>
    <row r="13" spans="2:4" x14ac:dyDescent="0.3">
      <c r="B13" t="s">
        <v>763</v>
      </c>
      <c r="C13" t="s">
        <v>782</v>
      </c>
      <c r="D13" t="s">
        <v>795</v>
      </c>
    </row>
    <row r="15" spans="2:4" x14ac:dyDescent="0.3">
      <c r="B15" t="s">
        <v>784</v>
      </c>
    </row>
    <row r="16" spans="2:4" x14ac:dyDescent="0.3">
      <c r="B16" s="468" t="s">
        <v>765</v>
      </c>
      <c r="C16" s="468" t="s">
        <v>766</v>
      </c>
    </row>
    <row r="17" spans="2:3" x14ac:dyDescent="0.3">
      <c r="B17" t="s">
        <v>1</v>
      </c>
      <c r="C17" t="s">
        <v>769</v>
      </c>
    </row>
    <row r="18" spans="2:3" x14ac:dyDescent="0.3">
      <c r="B18" t="s">
        <v>2</v>
      </c>
      <c r="C18" t="s">
        <v>769</v>
      </c>
    </row>
    <row r="19" spans="2:3" x14ac:dyDescent="0.3">
      <c r="B19" t="s">
        <v>768</v>
      </c>
      <c r="C19" t="s">
        <v>769</v>
      </c>
    </row>
    <row r="20" spans="2:3" x14ac:dyDescent="0.3">
      <c r="B20" t="s">
        <v>771</v>
      </c>
      <c r="C20" t="s">
        <v>772</v>
      </c>
    </row>
    <row r="22" spans="2:3" x14ac:dyDescent="0.3">
      <c r="B22" t="s">
        <v>785</v>
      </c>
    </row>
    <row r="23" spans="2:3" x14ac:dyDescent="0.3">
      <c r="B23" s="468" t="s">
        <v>765</v>
      </c>
      <c r="C23" s="468" t="s">
        <v>766</v>
      </c>
    </row>
    <row r="24" spans="2:3" x14ac:dyDescent="0.3">
      <c r="B24" t="s">
        <v>492</v>
      </c>
      <c r="C24" t="s">
        <v>780</v>
      </c>
    </row>
    <row r="25" spans="2:3" x14ac:dyDescent="0.3">
      <c r="B25" t="s">
        <v>492</v>
      </c>
      <c r="C25" t="s">
        <v>781</v>
      </c>
    </row>
    <row r="26" spans="2:3" x14ac:dyDescent="0.3">
      <c r="B26" t="s">
        <v>492</v>
      </c>
      <c r="C26" t="s">
        <v>779</v>
      </c>
    </row>
    <row r="28" spans="2:3" x14ac:dyDescent="0.3">
      <c r="B28" t="s">
        <v>773</v>
      </c>
    </row>
    <row r="29" spans="2:3" x14ac:dyDescent="0.3">
      <c r="B29" s="468" t="s">
        <v>765</v>
      </c>
      <c r="C29" s="468" t="s">
        <v>766</v>
      </c>
    </row>
    <row r="30" spans="2:3" x14ac:dyDescent="0.3">
      <c r="B30" t="s">
        <v>428</v>
      </c>
      <c r="C30" t="s">
        <v>767</v>
      </c>
    </row>
    <row r="31" spans="2:3" x14ac:dyDescent="0.3">
      <c r="B31" t="s">
        <v>764</v>
      </c>
      <c r="C31" t="s">
        <v>767</v>
      </c>
    </row>
    <row r="32" spans="2:3" x14ac:dyDescent="0.3">
      <c r="B32" t="s">
        <v>316</v>
      </c>
      <c r="C32" t="s">
        <v>767</v>
      </c>
    </row>
    <row r="34" spans="2:3" x14ac:dyDescent="0.3">
      <c r="B34" t="s">
        <v>789</v>
      </c>
    </row>
    <row r="35" spans="2:3" x14ac:dyDescent="0.3">
      <c r="B35" s="468" t="s">
        <v>765</v>
      </c>
      <c r="C35" s="468" t="s">
        <v>766</v>
      </c>
    </row>
    <row r="36" spans="2:3" x14ac:dyDescent="0.3">
      <c r="B36" t="s">
        <v>762</v>
      </c>
      <c r="C36" t="s">
        <v>790</v>
      </c>
    </row>
    <row r="37" spans="2:3" x14ac:dyDescent="0.3">
      <c r="B37" t="s">
        <v>763</v>
      </c>
      <c r="C37" t="s">
        <v>791</v>
      </c>
    </row>
    <row r="39" spans="2:3" x14ac:dyDescent="0.3">
      <c r="B39" t="s">
        <v>778</v>
      </c>
    </row>
    <row r="40" spans="2:3" x14ac:dyDescent="0.3">
      <c r="B40" s="468" t="s">
        <v>765</v>
      </c>
      <c r="C40" s="468" t="s">
        <v>766</v>
      </c>
    </row>
    <row r="41" spans="2:3" x14ac:dyDescent="0.3">
      <c r="B41" t="s">
        <v>775</v>
      </c>
      <c r="C41" t="s">
        <v>774</v>
      </c>
    </row>
    <row r="42" spans="2:3" x14ac:dyDescent="0.3">
      <c r="B42" t="s">
        <v>775</v>
      </c>
      <c r="C42" t="s">
        <v>777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E48"/>
  <sheetViews>
    <sheetView zoomScale="70" zoomScaleNormal="70" zoomScalePageLayoutView="125" workbookViewId="0">
      <pane xSplit="4" topLeftCell="E1" activePane="topRight" state="frozen"/>
      <selection activeCell="K24" sqref="K24"/>
      <selection pane="topRight" activeCell="D1" sqref="D1"/>
    </sheetView>
  </sheetViews>
  <sheetFormatPr defaultColWidth="8.88671875" defaultRowHeight="14.4" outlineLevelCol="1" x14ac:dyDescent="0.3"/>
  <cols>
    <col min="1" max="1" width="4.33203125" style="1" customWidth="1"/>
    <col min="2" max="2" width="12.6640625" style="1" customWidth="1"/>
    <col min="3" max="3" width="40" style="1" customWidth="1"/>
    <col min="4" max="4" width="35.6640625" style="1" customWidth="1"/>
    <col min="5" max="5" width="24.44140625" style="1" hidden="1" customWidth="1" outlineLevel="1"/>
    <col min="6" max="6" width="33.88671875" style="1" hidden="1" customWidth="1" outlineLevel="1"/>
    <col min="7" max="7" width="31.109375" style="1" hidden="1" customWidth="1" outlineLevel="1"/>
    <col min="8" max="8" width="24.33203125" style="1" hidden="1" customWidth="1" outlineLevel="1"/>
    <col min="9" max="9" width="41.44140625" style="1" hidden="1" customWidth="1" outlineLevel="1"/>
    <col min="10" max="10" width="9.109375" style="1" customWidth="1" collapsed="1"/>
    <col min="11" max="17" width="9.109375" style="1" customWidth="1"/>
    <col min="18" max="18" width="2.88671875"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8.88671875"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3.109375" style="1" customWidth="1"/>
    <col min="77" max="84" width="8.88671875" style="1"/>
    <col min="85" max="85" width="3.6640625" style="1" customWidth="1"/>
    <col min="86" max="93" width="8.88671875" style="1"/>
    <col min="94" max="94" width="3.6640625" style="1" customWidth="1"/>
    <col min="95" max="16384" width="8.88671875" style="1"/>
  </cols>
  <sheetData>
    <row r="1" spans="1:109" ht="18" x14ac:dyDescent="0.35">
      <c r="B1" s="10" t="s">
        <v>10</v>
      </c>
      <c r="M1" s="582"/>
      <c r="N1" s="582"/>
    </row>
    <row r="2" spans="1:109" x14ac:dyDescent="0.3">
      <c r="B2" s="25" t="s">
        <v>6</v>
      </c>
      <c r="J2" s="34"/>
      <c r="K2" s="34"/>
      <c r="L2" s="34"/>
    </row>
    <row r="3" spans="1:109" x14ac:dyDescent="0.3">
      <c r="A3" s="3"/>
      <c r="J3" s="67"/>
      <c r="K3" s="67"/>
      <c r="L3" s="67"/>
      <c r="M3" s="67"/>
      <c r="N3" s="67"/>
      <c r="O3" s="67"/>
      <c r="P3" s="67"/>
      <c r="Q3" s="67"/>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1:109" ht="43.2" x14ac:dyDescent="0.3">
      <c r="F4" s="34"/>
      <c r="I4" s="34"/>
      <c r="J4" s="589" t="s">
        <v>378</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379</v>
      </c>
      <c r="CR4" s="590"/>
      <c r="CS4" s="590"/>
      <c r="CT4" s="590"/>
      <c r="CU4" s="590"/>
      <c r="CV4" s="590"/>
      <c r="CW4" s="590"/>
      <c r="CX4" s="591"/>
    </row>
    <row r="5" spans="1:109"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f>Stub</f>
        <v>44377</v>
      </c>
      <c r="CT5" s="335">
        <f>Yr_1</f>
        <v>44742</v>
      </c>
      <c r="CU5" s="335">
        <f>Yr_2</f>
        <v>45107</v>
      </c>
      <c r="CV5" s="335">
        <f>Yr_3</f>
        <v>45473</v>
      </c>
      <c r="CW5" s="335">
        <f>Yr_4</f>
        <v>45838</v>
      </c>
      <c r="CX5" s="335">
        <f>Yr_5</f>
        <v>46203</v>
      </c>
    </row>
    <row r="6" spans="1:109" x14ac:dyDescent="0.3">
      <c r="B6" s="7" t="s">
        <v>426</v>
      </c>
      <c r="C6" s="7" t="s">
        <v>753</v>
      </c>
      <c r="D6" s="7"/>
      <c r="E6" s="7" t="s">
        <v>44</v>
      </c>
      <c r="F6" s="7" t="s">
        <v>51</v>
      </c>
      <c r="G6" s="7" t="s">
        <v>10</v>
      </c>
      <c r="H6" s="7" t="s">
        <v>152</v>
      </c>
      <c r="I6" s="7" t="s">
        <v>186</v>
      </c>
      <c r="J6" s="45"/>
      <c r="K6" s="45"/>
      <c r="L6" s="45"/>
      <c r="M6" s="45">
        <v>1693</v>
      </c>
      <c r="N6" s="45">
        <v>3239</v>
      </c>
      <c r="O6" s="45">
        <v>1988</v>
      </c>
      <c r="P6" s="45">
        <v>258</v>
      </c>
      <c r="Q6" s="45">
        <v>0</v>
      </c>
      <c r="S6" s="47">
        <f>INDEX(Direct_Cost_Splits_Network,MATCH($H6,RIN_Asset_Cat_Network,0),MATCH($S$4,Direct_Cost_Type,0))*J6*HLOOKUP(S$5,Escalators!$I$25:$U$30,3,FALSE)</f>
        <v>0</v>
      </c>
      <c r="T6" s="47">
        <f>INDEX(Direct_Cost_Splits_Network,MATCH($H6,RIN_Asset_Cat_Network,0),MATCH($S$4,Direct_Cost_Type,0))*K6*HLOOKUP(T$5,Escalators!$I$25:$U$30,3,FALSE)</f>
        <v>0</v>
      </c>
      <c r="U6" s="47">
        <f>INDEX(Direct_Cost_Splits_Network,MATCH($H6,RIN_Asset_Cat_Network,0),MATCH($S$4,Direct_Cost_Type,0))*L6*HLOOKUP(U$5,Escalators!$I$25:$U$30,3,FALSE)</f>
        <v>0</v>
      </c>
      <c r="V6" s="47">
        <f>INDEX(Direct_Cost_Splits_Network,MATCH($H6,RIN_Asset_Cat_Network,0),MATCH($S$4,Direct_Cost_Type,0))*M6*HLOOKUP(V$5,Escalators!$I$25:$U$30,3,FALSE)</f>
        <v>270.89215138208175</v>
      </c>
      <c r="W6" s="47">
        <f>INDEX(Direct_Cost_Splits_Network,MATCH($H6,RIN_Asset_Cat_Network,0),MATCH($S$4,Direct_Cost_Type,0))*N6*HLOOKUP(W$5,Escalators!$I$25:$U$30,3,FALSE)</f>
        <v>523.58071269296613</v>
      </c>
      <c r="X6" s="47">
        <f>INDEX(Direct_Cost_Splits_Network,MATCH($H6,RIN_Asset_Cat_Network,0),MATCH($S$4,Direct_Cost_Type,0))*O6*HLOOKUP(X$5,Escalators!$I$25:$U$30,3,FALSE)</f>
        <v>324.8170277199597</v>
      </c>
      <c r="Y6" s="47">
        <f>INDEX(Direct_Cost_Splits_Network,MATCH($H6,RIN_Asset_Cat_Network,0),MATCH($S$4,Direct_Cost_Type,0))*P6*HLOOKUP(Y$5,Escalators!$I$25:$U$30,3,FALSE)</f>
        <v>42.552902558690008</v>
      </c>
      <c r="Z6" s="47">
        <f>INDEX(Direct_Cost_Splits_Network,MATCH($H6,RIN_Asset_Cat_Network,0),MATCH($S$4,Direct_Cost_Type,0))*Q6*HLOOKUP(Z$5,Escalators!$I$25:$U$30,3,FALSE)</f>
        <v>0</v>
      </c>
      <c r="AB6" s="6">
        <f>INDEX(Direct_Cost_Splits_Network,MATCH($H6,RIN_Asset_Cat_Network,0),MATCH($AG$4,Direct_Cost_Type,0))*$J6*INDEX(Act_Type_Augex_Splits,MATCH($I6,Act_Type_Augex,0),MATCH(AB$4,Mat_Type,0))*INDEX(Escalators!$I$44:$U$49,MATCH(AB$4,Escalators!$C$44:$C$49,0),MATCH(AB$5,Escalators!$I$43:$U$43,0))</f>
        <v>0</v>
      </c>
      <c r="AC6" s="6">
        <f>INDEX(Direct_Cost_Splits_Network,MATCH($H6,RIN_Asset_Cat_Network,0),MATCH($AG$4,Direct_Cost_Type,0))*$J6*INDEX(Act_Type_Augex_Splits,MATCH($I6,Act_Type_Augex,0),MATCH(AC$4,Mat_Type,0))*INDEX(Escalators!$I$44:$U$49,MATCH(AC$4,Escalators!$C$44:$C$49,0),MATCH(AC$5,Escalators!$I$43:$U$43,0))</f>
        <v>0</v>
      </c>
      <c r="AD6" s="6">
        <f>INDEX(Direct_Cost_Splits_Network,MATCH($H6,RIN_Asset_Cat_Network,0),MATCH($AG$4,Direct_Cost_Type,0))*$J6*INDEX(Act_Type_Augex_Splits,MATCH($I6,Act_Type_Augex,0),MATCH(AD$4,Mat_Type,0))*INDEX(Escalators!$I$44:$U$49,MATCH(AD$4,Escalators!$C$44:$C$49,0),MATCH(AD$5,Escalators!$I$43:$U$43,0))</f>
        <v>0</v>
      </c>
      <c r="AE6" s="6">
        <f>INDEX(Direct_Cost_Splits_Network,MATCH($H6,RIN_Asset_Cat_Network,0),MATCH($AG$4,Direct_Cost_Type,0))*$J6*INDEX(Act_Type_Augex_Splits,MATCH($I6,Act_Type_Augex,0),MATCH(AE$4,Mat_Type,0))*INDEX(Escalators!$I$44:$U$49,MATCH(AE$4,Escalators!$C$44:$C$49,0),MATCH(AE$5,Escalators!$I$43:$U$43,0))</f>
        <v>0</v>
      </c>
      <c r="AF6" s="6">
        <f>INDEX(Direct_Cost_Splits_Network,MATCH($H6,RIN_Asset_Cat_Network,0),MATCH($AG$4,Direct_Cost_Type,0))*$J6*INDEX(Act_Type_Augex_Splits,MATCH($I6,Act_Type_Augex,0),MATCH(AF$4,Mat_Type,0))*INDEX(Escalators!$I$44:$U$49,MATCH(AF$4,Escalators!$C$44:$C$49,0),MATCH(AF$5,Escalators!$I$43:$U$43,0))</f>
        <v>0</v>
      </c>
      <c r="AG6" s="47">
        <f>SUM(AB6:AF6)</f>
        <v>0</v>
      </c>
      <c r="AH6" s="47">
        <f>INDEX(Direct_Cost_Splits_Network,MATCH($H6,RIN_Asset_Cat_Network,0),MATCH($AY$4,Direct_Cost_Type,0))*$K6*INDEX(Act_Type_Augex_Splits,MATCH($I6,Act_Type_Augex,0),MATCH(AH$4,Mat_Type,0))*INDEX(Escalators!$I$44:$U$49,MATCH(AH$4,Escalators!$C$44:$C$49,0),MATCH(AH$5,Escalators!$I$43:$U$43,0))</f>
        <v>0</v>
      </c>
      <c r="AI6" s="47">
        <f>INDEX(Direct_Cost_Splits_Network,MATCH($H6,RIN_Asset_Cat_Network,0),MATCH($AY$4,Direct_Cost_Type,0))*$K6*INDEX(Act_Type_Augex_Splits,MATCH($I6,Act_Type_Augex,0),MATCH(AI$4,Mat_Type,0))*INDEX(Escalators!$I$44:$U$49,MATCH(AI$4,Escalators!$C$44:$C$49,0),MATCH(AI$5,Escalators!$I$43:$U$43,0))</f>
        <v>0</v>
      </c>
      <c r="AJ6" s="47">
        <f>INDEX(Direct_Cost_Splits_Network,MATCH($H6,RIN_Asset_Cat_Network,0),MATCH($AY$4,Direct_Cost_Type,0))*$K6*INDEX(Act_Type_Augex_Splits,MATCH($I6,Act_Type_Augex,0),MATCH(AJ$4,Mat_Type,0))*INDEX(Escalators!$I$44:$U$49,MATCH(AJ$4,Escalators!$C$44:$C$49,0),MATCH(AJ$5,Escalators!$I$43:$U$43,0))</f>
        <v>0</v>
      </c>
      <c r="AK6" s="47">
        <f>INDEX(Direct_Cost_Splits_Network,MATCH($H6,RIN_Asset_Cat_Network,0),MATCH($AY$4,Direct_Cost_Type,0))*$K6*INDEX(Act_Type_Augex_Splits,MATCH($I6,Act_Type_Augex,0),MATCH(AK$4,Mat_Type,0))*INDEX(Escalators!$I$44:$U$49,MATCH(AK$4,Escalators!$C$44:$C$49,0),MATCH(AK$5,Escalators!$I$43:$U$43,0))</f>
        <v>0</v>
      </c>
      <c r="AL6" s="47">
        <f>INDEX(Direct_Cost_Splits_Network,MATCH($H6,RIN_Asset_Cat_Network,0),MATCH($AY$4,Direct_Cost_Type,0))*$K6*INDEX(Act_Type_Augex_Splits,MATCH($I6,Act_Type_Augex,0),MATCH(AL$4,Mat_Type,0))*INDEX(Escalators!$I$44:$U$49,MATCH(AL$4,Escalators!$C$44:$C$49,0),MATCH(AL$5,Escalators!$I$43:$U$43,0))</f>
        <v>0</v>
      </c>
      <c r="AM6" s="47">
        <f>SUM(AH6:AL6)</f>
        <v>0</v>
      </c>
      <c r="AN6" s="47">
        <f>INDEX(Direct_Cost_Splits_Network,MATCH($H6,RIN_Asset_Cat_Network,0),MATCH($AY$4,Direct_Cost_Type,0))*$L6*INDEX(Act_Type_Augex_Splits,MATCH($I6,Act_Type_Augex,0),MATCH(AN$4,Mat_Type,0))*INDEX(Escalators!$I$44:$U$49,MATCH(AN$4,Escalators!$C$44:$C$49,0),MATCH(AN$5,Escalators!$I$43:$U$43,0))</f>
        <v>0</v>
      </c>
      <c r="AO6" s="47">
        <f>INDEX(Direct_Cost_Splits_Network,MATCH($H6,RIN_Asset_Cat_Network,0),MATCH($AY$4,Direct_Cost_Type,0))*$L6*INDEX(Act_Type_Augex_Splits,MATCH($I6,Act_Type_Augex,0),MATCH(AO$4,Mat_Type,0))*INDEX(Escalators!$I$44:$U$49,MATCH(AO$4,Escalators!$C$44:$C$49,0),MATCH(AO$5,Escalators!$I$43:$U$43,0))</f>
        <v>0</v>
      </c>
      <c r="AP6" s="47">
        <f>INDEX(Direct_Cost_Splits_Network,MATCH($H6,RIN_Asset_Cat_Network,0),MATCH($AY$4,Direct_Cost_Type,0))*$L6*INDEX(Act_Type_Augex_Splits,MATCH($I6,Act_Type_Augex,0),MATCH(AP$4,Mat_Type,0))*INDEX(Escalators!$I$44:$U$49,MATCH(AP$4,Escalators!$C$44:$C$49,0),MATCH(AP$5,Escalators!$I$43:$U$43,0))</f>
        <v>0</v>
      </c>
      <c r="AQ6" s="47">
        <f>INDEX(Direct_Cost_Splits_Network,MATCH($H6,RIN_Asset_Cat_Network,0),MATCH($AY$4,Direct_Cost_Type,0))*$L6*INDEX(Act_Type_Augex_Splits,MATCH($I6,Act_Type_Augex,0),MATCH(AQ$4,Mat_Type,0))*INDEX(Escalators!$I$44:$U$49,MATCH(AQ$4,Escalators!$C$44:$C$49,0),MATCH(AQ$5,Escalators!$I$43:$U$43,0))</f>
        <v>0</v>
      </c>
      <c r="AR6" s="47">
        <f>INDEX(Direct_Cost_Splits_Network,MATCH($H6,RIN_Asset_Cat_Network,0),MATCH($AY$4,Direct_Cost_Type,0))*$L6*INDEX(Act_Type_Augex_Splits,MATCH($I6,Act_Type_Augex,0),MATCH(AR$4,Mat_Type,0))*INDEX(Escalators!$I$44:$U$49,MATCH(AR$4,Escalators!$C$44:$C$49,0),MATCH(AR$5,Escalators!$I$43:$U$43,0))</f>
        <v>0</v>
      </c>
      <c r="AS6" s="47">
        <f t="shared" ref="AS6:AS31" si="8">SUM(AN6:AR6)</f>
        <v>0</v>
      </c>
      <c r="AT6" s="47">
        <f>INDEX(Direct_Cost_Splits_Network,MATCH($H6,RIN_Asset_Cat_Network,0),MATCH($AY$4,Direct_Cost_Type,0))*$M6*INDEX(Act_Type_Augex_Splits,MATCH($I6,Act_Type_Augex,0),MATCH(AT$4,Mat_Type,0))*INDEX(Escalators!$I$44:$U$49,MATCH(AT$4,Escalators!$C$44:$C$49,0),MATCH(AT$5,Escalators!$I$43:$U$43,0))</f>
        <v>26.141536607774569</v>
      </c>
      <c r="AU6" s="47">
        <f>INDEX(Direct_Cost_Splits_Network,MATCH($H6,RIN_Asset_Cat_Network,0),MATCH($AY$4,Direct_Cost_Type,0))*$M6*INDEX(Act_Type_Augex_Splits,MATCH($I6,Act_Type_Augex,0),MATCH(AU$4,Mat_Type,0))*INDEX(Escalators!$I$44:$U$49,MATCH(AU$4,Escalators!$C$44:$C$49,0),MATCH(AU$5,Escalators!$I$43:$U$43,0))</f>
        <v>104.56614643109828</v>
      </c>
      <c r="AV6" s="47">
        <f>INDEX(Direct_Cost_Splits_Network,MATCH($H6,RIN_Asset_Cat_Network,0),MATCH($AY$4,Direct_Cost_Type,0))*$M6*INDEX(Act_Type_Augex_Splits,MATCH($I6,Act_Type_Augex,0),MATCH(AV$4,Mat_Type,0))*INDEX(Escalators!$I$44:$U$49,MATCH(AV$4,Escalators!$C$44:$C$49,0),MATCH(AV$5,Escalators!$I$43:$U$43,0))</f>
        <v>182.99075625442194</v>
      </c>
      <c r="AW6" s="47">
        <f>INDEX(Direct_Cost_Splits_Network,MATCH($H6,RIN_Asset_Cat_Network,0),MATCH($AY$4,Direct_Cost_Type,0))*$M6*INDEX(Act_Type_Augex_Splits,MATCH($I6,Act_Type_Augex,0),MATCH(AW$4,Mat_Type,0))*INDEX(Escalators!$I$44:$U$49,MATCH(AW$4,Escalators!$C$44:$C$49,0),MATCH(AW$5,Escalators!$I$43:$U$43,0))</f>
        <v>26.141536607774569</v>
      </c>
      <c r="AX6" s="47">
        <f>INDEX(Direct_Cost_Splits_Network,MATCH($H6,RIN_Asset_Cat_Network,0),MATCH($AY$4,Direct_Cost_Type,0))*$M6*INDEX(Act_Type_Augex_Splits,MATCH($I6,Act_Type_Augex,0),MATCH(AX$4,Mat_Type,0))*INDEX(Escalators!$I$44:$U$49,MATCH(AX$4,Escalators!$C$44:$C$49,0),MATCH(AX$5,Escalators!$I$43:$U$43,0))</f>
        <v>182.99075625442194</v>
      </c>
      <c r="AY6" s="47">
        <f t="shared" ref="AY6:AY31" si="9">SUM(AT6:AX6)</f>
        <v>522.83073215549132</v>
      </c>
      <c r="AZ6" s="47">
        <f>INDEX(Direct_Cost_Splits_Network,MATCH($H6,RIN_Asset_Cat_Network,0),MATCH($BE$4,Direct_Cost_Type,0))*$N6*INDEX(Act_Type_Augex_Splits,MATCH($I6,Act_Type_Augex,0),MATCH(AZ$4,Mat_Type,0))*INDEX(Escalators!$I$44:$U$49,MATCH(AZ$4,Escalators!$C$44:$C$49,0),MATCH(AZ$5,Escalators!$I$43:$U$43,0))</f>
        <v>50.01325284854213</v>
      </c>
      <c r="BA6" s="47">
        <f>INDEX(Direct_Cost_Splits_Network,MATCH($H6,RIN_Asset_Cat_Network,0),MATCH($BE$4,Direct_Cost_Type,0))*$N6*INDEX(Act_Type_Augex_Splits,MATCH($I6,Act_Type_Augex,0),MATCH(BA$4,Mat_Type,0))*INDEX(Escalators!$I$44:$U$49,MATCH(BA$4,Escalators!$C$44:$C$49,0),MATCH(BA$5,Escalators!$I$43:$U$43,0))</f>
        <v>200.05301139416852</v>
      </c>
      <c r="BB6" s="47">
        <f>INDEX(Direct_Cost_Splits_Network,MATCH($H6,RIN_Asset_Cat_Network,0),MATCH($BE$4,Direct_Cost_Type,0))*$N6*INDEX(Act_Type_Augex_Splits,MATCH($I6,Act_Type_Augex,0),MATCH(BB$4,Mat_Type,0))*INDEX(Escalators!$I$44:$U$49,MATCH(BB$4,Escalators!$C$44:$C$49,0),MATCH(BB$5,Escalators!$I$43:$U$43,0))</f>
        <v>350.09276993979489</v>
      </c>
      <c r="BC6" s="47">
        <f>INDEX(Direct_Cost_Splits_Network,MATCH($H6,RIN_Asset_Cat_Network,0),MATCH($BE$4,Direct_Cost_Type,0))*$N6*INDEX(Act_Type_Augex_Splits,MATCH($I6,Act_Type_Augex,0),MATCH(BC$4,Mat_Type,0))*INDEX(Escalators!$I$44:$U$49,MATCH(BC$4,Escalators!$C$44:$C$49,0),MATCH(BC$5,Escalators!$I$43:$U$43,0))</f>
        <v>50.01325284854213</v>
      </c>
      <c r="BD6" s="47">
        <f>INDEX(Direct_Cost_Splits_Network,MATCH($H6,RIN_Asset_Cat_Network,0),MATCH($BE$4,Direct_Cost_Type,0))*$N6*INDEX(Act_Type_Augex_Splits,MATCH($I6,Act_Type_Augex,0),MATCH(BD$4,Mat_Type,0))*INDEX(Escalators!$I$44:$U$49,MATCH(BD$4,Escalators!$C$44:$C$49,0),MATCH(BD$5,Escalators!$I$43:$U$43,0))</f>
        <v>350.09276993979489</v>
      </c>
      <c r="BE6" s="47">
        <f t="shared" ref="BE6:BE31" si="10">SUM(AZ6:BD6)</f>
        <v>1000.2650569708426</v>
      </c>
      <c r="BF6" s="47">
        <f>INDEX(Direct_Cost_Splits_Network,MATCH($H6,RIN_Asset_Cat_Network,0),MATCH($BK$4,Direct_Cost_Type,0))*$O6*INDEX(Act_Type_Augex_Splits,MATCH($I6,Act_Type_Augex,0),MATCH(BF$4,Mat_Type,0))*INDEX(Escalators!$I$44:$U$49,MATCH(BF$4,Escalators!$C$44:$C$49,0),MATCH(BF$5,Escalators!$I$43:$U$43,0))</f>
        <v>30.69661829666618</v>
      </c>
      <c r="BG6" s="47">
        <f>INDEX(Direct_Cost_Splits_Network,MATCH($H6,RIN_Asset_Cat_Network,0),MATCH($BK$4,Direct_Cost_Type,0))*$O6*INDEX(Act_Type_Augex_Splits,MATCH($I6,Act_Type_Augex,0),MATCH(BG$4,Mat_Type,0))*INDEX(Escalators!$I$44:$U$49,MATCH(BG$4,Escalators!$C$44:$C$49,0),MATCH(BG$5,Escalators!$I$43:$U$43,0))</f>
        <v>122.78647318666472</v>
      </c>
      <c r="BH6" s="47">
        <f>INDEX(Direct_Cost_Splits_Network,MATCH($H6,RIN_Asset_Cat_Network,0),MATCH($BK$4,Direct_Cost_Type,0))*$O6*INDEX(Act_Type_Augex_Splits,MATCH($I6,Act_Type_Augex,0),MATCH(BH$4,Mat_Type,0))*INDEX(Escalators!$I$44:$U$49,MATCH(BH$4,Escalators!$C$44:$C$49,0),MATCH(BH$5,Escalators!$I$43:$U$43,0))</f>
        <v>214.87632807666324</v>
      </c>
      <c r="BI6" s="47">
        <f>INDEX(Direct_Cost_Splits_Network,MATCH($H6,RIN_Asset_Cat_Network,0),MATCH($BK$4,Direct_Cost_Type,0))*$O6*INDEX(Act_Type_Augex_Splits,MATCH($I6,Act_Type_Augex,0),MATCH(BI$4,Mat_Type,0))*INDEX(Escalators!$I$44:$U$49,MATCH(BI$4,Escalators!$C$44:$C$49,0),MATCH(BI$5,Escalators!$I$43:$U$43,0))</f>
        <v>30.69661829666618</v>
      </c>
      <c r="BJ6" s="47">
        <f>INDEX(Direct_Cost_Splits_Network,MATCH($H6,RIN_Asset_Cat_Network,0),MATCH($BK$4,Direct_Cost_Type,0))*$O6*INDEX(Act_Type_Augex_Splits,MATCH($I6,Act_Type_Augex,0),MATCH(BJ$4,Mat_Type,0))*INDEX(Escalators!$I$44:$U$49,MATCH(BJ$4,Escalators!$C$44:$C$49,0),MATCH(BJ$5,Escalators!$I$43:$U$43,0))</f>
        <v>214.87632807666324</v>
      </c>
      <c r="BK6" s="47">
        <f t="shared" ref="BK6:BK31" si="11">SUM(BF6:BJ6)</f>
        <v>613.93236593332358</v>
      </c>
      <c r="BL6" s="47">
        <f>INDEX(Direct_Cost_Splits_Network,MATCH($H6,RIN_Asset_Cat_Network,0),MATCH($BQ$4,Direct_Cost_Type,0))*$P6*INDEX(Act_Type_Augex_Splits,MATCH($I6,Act_Type_Augex,0),MATCH(BL$4,Mat_Type,0))*INDEX(Escalators!$I$44:$U$49,MATCH(BL$4,Escalators!$C$44:$C$49,0),MATCH(BL$5,Escalators!$I$43:$U$43,0))</f>
        <v>3.9837663584204601</v>
      </c>
      <c r="BM6" s="47">
        <f>INDEX(Direct_Cost_Splits_Network,MATCH($H6,RIN_Asset_Cat_Network,0),MATCH($BQ$4,Direct_Cost_Type,0))*$P6*INDEX(Act_Type_Augex_Splits,MATCH($I6,Act_Type_Augex,0),MATCH(BM$4,Mat_Type,0))*INDEX(Escalators!$I$44:$U$49,MATCH(BM$4,Escalators!$C$44:$C$49,0),MATCH(BM$5,Escalators!$I$43:$U$43,0))</f>
        <v>15.93506543368184</v>
      </c>
      <c r="BN6" s="47">
        <f>INDEX(Direct_Cost_Splits_Network,MATCH($H6,RIN_Asset_Cat_Network,0),MATCH($BQ$4,Direct_Cost_Type,0))*$P6*INDEX(Act_Type_Augex_Splits,MATCH($I6,Act_Type_Augex,0),MATCH(BN$4,Mat_Type,0))*INDEX(Escalators!$I$44:$U$49,MATCH(BN$4,Escalators!$C$44:$C$49,0),MATCH(BN$5,Escalators!$I$43:$U$43,0))</f>
        <v>27.886364508943217</v>
      </c>
      <c r="BO6" s="47">
        <f>INDEX(Direct_Cost_Splits_Network,MATCH($H6,RIN_Asset_Cat_Network,0),MATCH($BQ$4,Direct_Cost_Type,0))*$P6*INDEX(Act_Type_Augex_Splits,MATCH($I6,Act_Type_Augex,0),MATCH(BO$4,Mat_Type,0))*INDEX(Escalators!$I$44:$U$49,MATCH(BO$4,Escalators!$C$44:$C$49,0),MATCH(BO$5,Escalators!$I$43:$U$43,0))</f>
        <v>3.9837663584204601</v>
      </c>
      <c r="BP6" s="47">
        <f>INDEX(Direct_Cost_Splits_Network,MATCH($H6,RIN_Asset_Cat_Network,0),MATCH($BQ$4,Direct_Cost_Type,0))*$P6*INDEX(Act_Type_Augex_Splits,MATCH($I6,Act_Type_Augex,0),MATCH(BP$4,Mat_Type,0))*INDEX(Escalators!$I$44:$U$49,MATCH(BP$4,Escalators!$C$44:$C$49,0),MATCH(BP$5,Escalators!$I$43:$U$43,0))</f>
        <v>27.886364508943217</v>
      </c>
      <c r="BQ6" s="47">
        <f t="shared" ref="BQ6:BQ31" si="12">SUM(BL6:BP6)</f>
        <v>79.675327168409183</v>
      </c>
      <c r="BR6" s="47">
        <f>INDEX(Direct_Cost_Splits_Network,MATCH($H6,RIN_Asset_Cat_Network,0),MATCH($BW$4,Direct_Cost_Type,0))*$Q6*INDEX(Act_Type_Augex_Splits,MATCH($I6,Act_Type_Augex,0),MATCH(BR$4,Mat_Type,0))*INDEX(Escalators!$I$44:$U$49,MATCH(BR$4,Escalators!$C$44:$C$49,0),MATCH(BR$5,Escalators!$I$43:$U$43,0))</f>
        <v>0</v>
      </c>
      <c r="BS6" s="47">
        <f>INDEX(Direct_Cost_Splits_Network,MATCH($H6,RIN_Asset_Cat_Network,0),MATCH($BW$4,Direct_Cost_Type,0))*$Q6*INDEX(Act_Type_Augex_Splits,MATCH($I6,Act_Type_Augex,0),MATCH(BS$4,Mat_Type,0))*INDEX(Escalators!$I$44:$U$49,MATCH(BS$4,Escalators!$C$44:$C$49,0),MATCH(BS$5,Escalators!$I$43:$U$43,0))</f>
        <v>0</v>
      </c>
      <c r="BT6" s="47">
        <f>INDEX(Direct_Cost_Splits_Network,MATCH($H6,RIN_Asset_Cat_Network,0),MATCH($BW$4,Direct_Cost_Type,0))*$Q6*INDEX(Act_Type_Augex_Splits,MATCH($I6,Act_Type_Augex,0),MATCH(BT$4,Mat_Type,0))*INDEX(Escalators!$I$44:$U$49,MATCH(BT$4,Escalators!$C$44:$C$49,0),MATCH(BT$5,Escalators!$I$43:$U$43,0))</f>
        <v>0</v>
      </c>
      <c r="BU6" s="47">
        <f>INDEX(Direct_Cost_Splits_Network,MATCH($H6,RIN_Asset_Cat_Network,0),MATCH($BW$4,Direct_Cost_Type,0))*$Q6*INDEX(Act_Type_Augex_Splits,MATCH($I6,Act_Type_Augex,0),MATCH(BU$4,Mat_Type,0))*INDEX(Escalators!$I$44:$U$49,MATCH(BU$4,Escalators!$C$44:$C$49,0),MATCH(BU$5,Escalators!$I$43:$U$43,0))</f>
        <v>0</v>
      </c>
      <c r="BV6" s="47">
        <f>INDEX(Direct_Cost_Splits_Network,MATCH($H6,RIN_Asset_Cat_Network,0),MATCH($BW$4,Direct_Cost_Type,0))*$Q6*INDEX(Act_Type_Augex_Splits,MATCH($I6,Act_Type_Augex,0),MATCH(BV$4,Mat_Type,0))*INDEX(Escalators!$I$44:$U$49,MATCH(BV$4,Escalators!$C$44:$C$49,0),MATCH(BV$5,Escalators!$I$43:$U$43,0))</f>
        <v>0</v>
      </c>
      <c r="BW6" s="47">
        <f t="shared" ref="BW6:BW31" si="13">SUM(BR6:BV6)</f>
        <v>0</v>
      </c>
      <c r="BY6" s="47">
        <f>INDEX(Direct_Cost_Splits_Network,MATCH($H6,RIN_Asset_Cat_Network,0),MATCH($BY$4,Direct_Cost_Type,0))*J6*HLOOKUP(BY$5,Escalators!$I$25:$U$30,6,FALSE)</f>
        <v>0</v>
      </c>
      <c r="BZ6" s="47">
        <f>INDEX(Direct_Cost_Splits_Network,MATCH($H6,RIN_Asset_Cat_Network,0),MATCH($BY$4,Direct_Cost_Type,0))*K6*HLOOKUP(BZ$5,Escalators!$I$25:$U$30,6,FALSE)</f>
        <v>0</v>
      </c>
      <c r="CA6" s="47">
        <f>INDEX(Direct_Cost_Splits_Network,MATCH($H6,RIN_Asset_Cat_Network,0),MATCH($BY$4,Direct_Cost_Type,0))*L6*HLOOKUP(CA$5,Escalators!$I$25:$U$30,6,FALSE)</f>
        <v>0</v>
      </c>
      <c r="CB6" s="47">
        <f>INDEX(Direct_Cost_Splits_Network,MATCH($H6,RIN_Asset_Cat_Network,0),MATCH($BY$4,Direct_Cost_Type,0))*M6*HLOOKUP(CB$5,Escalators!$I$25:$U$30,6,FALSE)</f>
        <v>735.76845754322881</v>
      </c>
      <c r="CC6" s="47">
        <f>INDEX(Direct_Cost_Splits_Network,MATCH($H6,RIN_Asset_Cat_Network,0),MATCH($BY$4,Direct_Cost_Type,0))*N6*HLOOKUP(CC$5,Escalators!$I$25:$U$30,6,FALSE)</f>
        <v>1422.094259328067</v>
      </c>
      <c r="CD6" s="47">
        <f>INDEX(Direct_Cost_Splits_Network,MATCH($H6,RIN_Asset_Cat_Network,0),MATCH($BY$4,Direct_Cost_Type,0))*O6*HLOOKUP(CD$5,Escalators!$I$25:$U$30,6,FALSE)</f>
        <v>882.23347280448036</v>
      </c>
      <c r="CE6" s="47">
        <f>INDEX(Direct_Cost_Splits_Network,MATCH($H6,RIN_Asset_Cat_Network,0),MATCH($BY$4,Direct_Cost_Type,0))*P6*HLOOKUP(CE$5,Escalators!$I$25:$U$30,6,FALSE)</f>
        <v>115.5776692674811</v>
      </c>
      <c r="CF6" s="47">
        <f>INDEX(Direct_Cost_Splits_Network,MATCH($H6,RIN_Asset_Cat_Network,0),MATCH($BY$4,Direct_Cost_Type,0))*Q6*HLOOKUP(CF$5,Escalators!$I$25:$U$30,6,FALSE)</f>
        <v>0</v>
      </c>
      <c r="CH6" s="47">
        <f t="shared" ref="CH6:CO11" si="14">INDEX(Direct_Cost_Splits_Network,MATCH($H6,RIN_Asset_Cat_Network,0),MATCH($CH$4,Direct_Cost_Type,0))*J6</f>
        <v>0</v>
      </c>
      <c r="CI6" s="47">
        <f t="shared" si="14"/>
        <v>0</v>
      </c>
      <c r="CJ6" s="47">
        <f t="shared" si="14"/>
        <v>0</v>
      </c>
      <c r="CK6" s="47">
        <f t="shared" si="14"/>
        <v>195.68167993540717</v>
      </c>
      <c r="CL6" s="47">
        <f t="shared" si="14"/>
        <v>374.37268831115409</v>
      </c>
      <c r="CM6" s="47">
        <f t="shared" si="14"/>
        <v>229.7786058544533</v>
      </c>
      <c r="CN6" s="47">
        <f t="shared" si="14"/>
        <v>29.820362329199675</v>
      </c>
      <c r="CO6" s="47">
        <f t="shared" si="14"/>
        <v>0</v>
      </c>
      <c r="CQ6" s="373">
        <f t="shared" ref="CQ6:CQ31" si="15">S6+AG6+BY6+CH6</f>
        <v>0</v>
      </c>
      <c r="CR6" s="47">
        <f t="shared" ref="CR6:CR31" si="16">T6+AM6+BZ6+CI6</f>
        <v>0</v>
      </c>
      <c r="CS6" s="47">
        <f t="shared" ref="CS6:CS31" si="17">U6+AS6+CA6+CJ6</f>
        <v>0</v>
      </c>
      <c r="CT6" s="47">
        <f t="shared" ref="CT6:CT31" si="18">V6+AY6+CB6+CK6</f>
        <v>1725.1730210162091</v>
      </c>
      <c r="CU6" s="47">
        <f t="shared" ref="CU6:CU31" si="19">W6+BE6+CC6+CL6</f>
        <v>3320.3127173030298</v>
      </c>
      <c r="CV6" s="47">
        <f t="shared" ref="CV6:CV31" si="20">X6+BK6+CD6+CM6</f>
        <v>2050.7614723122169</v>
      </c>
      <c r="CW6" s="47">
        <f t="shared" ref="CW6:CW31" si="21">Y6+BQ6+CE6+CN6</f>
        <v>267.62626132377994</v>
      </c>
      <c r="CX6" s="47">
        <f t="shared" ref="CX6:CX31" si="22">Z6+BW6+CF6+CO6</f>
        <v>0</v>
      </c>
      <c r="CZ6" s="316"/>
      <c r="DA6" s="316"/>
      <c r="DB6" s="316"/>
      <c r="DC6" s="316"/>
      <c r="DD6" s="316"/>
      <c r="DE6" s="39"/>
    </row>
    <row r="7" spans="1:109" x14ac:dyDescent="0.3">
      <c r="B7" s="7" t="s">
        <v>426</v>
      </c>
      <c r="C7" s="7" t="s">
        <v>752</v>
      </c>
      <c r="D7" s="7"/>
      <c r="E7" s="7" t="s">
        <v>44</v>
      </c>
      <c r="F7" s="7" t="s">
        <v>51</v>
      </c>
      <c r="G7" s="7" t="s">
        <v>10</v>
      </c>
      <c r="H7" s="7" t="s">
        <v>152</v>
      </c>
      <c r="I7" s="7" t="s">
        <v>186</v>
      </c>
      <c r="J7" s="45"/>
      <c r="K7" s="45"/>
      <c r="L7" s="45"/>
      <c r="M7" s="45">
        <v>0</v>
      </c>
      <c r="N7" s="45">
        <v>0</v>
      </c>
      <c r="O7" s="45">
        <v>0</v>
      </c>
      <c r="P7" s="45">
        <v>0</v>
      </c>
      <c r="Q7" s="45">
        <v>0</v>
      </c>
      <c r="S7" s="47">
        <f>INDEX(Direct_Cost_Splits_Network,MATCH($H7,RIN_Asset_Cat_Network,0),MATCH($S$4,Direct_Cost_Type,0))*J7*HLOOKUP(S$5,Escalators!$I$25:$U$30,3,FALSE)</f>
        <v>0</v>
      </c>
      <c r="T7" s="47">
        <f>INDEX(Direct_Cost_Splits_Network,MATCH($H7,RIN_Asset_Cat_Network,0),MATCH($S$4,Direct_Cost_Type,0))*K7*HLOOKUP(T$5,Escalators!$I$25:$U$30,3,FALSE)</f>
        <v>0</v>
      </c>
      <c r="U7" s="47">
        <f>INDEX(Direct_Cost_Splits_Network,MATCH($H7,RIN_Asset_Cat_Network,0),MATCH($S$4,Direct_Cost_Type,0))*L7*HLOOKUP(U$5,Escalators!$I$25:$U$30,3,FALSE)</f>
        <v>0</v>
      </c>
      <c r="V7" s="47">
        <f>INDEX(Direct_Cost_Splits_Network,MATCH($H7,RIN_Asset_Cat_Network,0),MATCH($S$4,Direct_Cost_Type,0))*M7*HLOOKUP(V$5,Escalators!$I$25:$U$30,3,FALSE)</f>
        <v>0</v>
      </c>
      <c r="W7" s="47">
        <f>INDEX(Direct_Cost_Splits_Network,MATCH($H7,RIN_Asset_Cat_Network,0),MATCH($S$4,Direct_Cost_Type,0))*N7*HLOOKUP(W$5,Escalators!$I$25:$U$30,3,FALSE)</f>
        <v>0</v>
      </c>
      <c r="X7" s="47">
        <f>INDEX(Direct_Cost_Splits_Network,MATCH($H7,RIN_Asset_Cat_Network,0),MATCH($S$4,Direct_Cost_Type,0))*O7*HLOOKUP(X$5,Escalators!$I$25:$U$30,3,FALSE)</f>
        <v>0</v>
      </c>
      <c r="Y7" s="47">
        <f>INDEX(Direct_Cost_Splits_Network,MATCH($H7,RIN_Asset_Cat_Network,0),MATCH($S$4,Direct_Cost_Type,0))*P7*HLOOKUP(Y$5,Escalators!$I$25:$U$30,3,FALSE)</f>
        <v>0</v>
      </c>
      <c r="Z7" s="47">
        <f>INDEX(Direct_Cost_Splits_Network,MATCH($H7,RIN_Asset_Cat_Network,0),MATCH($S$4,Direct_Cost_Type,0))*Q7*HLOOKUP(Z$5,Escalators!$I$25:$U$30,3,FALSE)</f>
        <v>0</v>
      </c>
      <c r="AB7" s="6">
        <f>INDEX(Direct_Cost_Splits_Network,MATCH($H7,RIN_Asset_Cat_Network,0),MATCH($AG$4,Direct_Cost_Type,0))*$J7*INDEX(Act_Type_Augex_Splits,MATCH($I7,Act_Type_Augex,0),MATCH(AB$4,Mat_Type,0))*INDEX(Escalators!$I$44:$U$49,MATCH(AB$4,Escalators!$C$44:$C$49,0),MATCH(AB$5,Escalators!$I$43:$U$43,0))</f>
        <v>0</v>
      </c>
      <c r="AC7" s="6">
        <f>INDEX(Direct_Cost_Splits_Network,MATCH($H7,RIN_Asset_Cat_Network,0),MATCH($AG$4,Direct_Cost_Type,0))*$J7*INDEX(Act_Type_Augex_Splits,MATCH($I7,Act_Type_Augex,0),MATCH(AC$4,Mat_Type,0))*INDEX(Escalators!$I$44:$U$49,MATCH(AC$4,Escalators!$C$44:$C$49,0),MATCH(AC$5,Escalators!$I$43:$U$43,0))</f>
        <v>0</v>
      </c>
      <c r="AD7" s="6">
        <f>INDEX(Direct_Cost_Splits_Network,MATCH($H7,RIN_Asset_Cat_Network,0),MATCH($AG$4,Direct_Cost_Type,0))*$J7*INDEX(Act_Type_Augex_Splits,MATCH($I7,Act_Type_Augex,0),MATCH(AD$4,Mat_Type,0))*INDEX(Escalators!$I$44:$U$49,MATCH(AD$4,Escalators!$C$44:$C$49,0),MATCH(AD$5,Escalators!$I$43:$U$43,0))</f>
        <v>0</v>
      </c>
      <c r="AE7" s="6">
        <f>INDEX(Direct_Cost_Splits_Network,MATCH($H7,RIN_Asset_Cat_Network,0),MATCH($AG$4,Direct_Cost_Type,0))*$J7*INDEX(Act_Type_Augex_Splits,MATCH($I7,Act_Type_Augex,0),MATCH(AE$4,Mat_Type,0))*INDEX(Escalators!$I$44:$U$49,MATCH(AE$4,Escalators!$C$44:$C$49,0),MATCH(AE$5,Escalators!$I$43:$U$43,0))</f>
        <v>0</v>
      </c>
      <c r="AF7" s="6">
        <f>INDEX(Direct_Cost_Splits_Network,MATCH($H7,RIN_Asset_Cat_Network,0),MATCH($AG$4,Direct_Cost_Type,0))*$J7*INDEX(Act_Type_Augex_Splits,MATCH($I7,Act_Type_Augex,0),MATCH(AF$4,Mat_Type,0))*INDEX(Escalators!$I$44:$U$49,MATCH(AF$4,Escalators!$C$44:$C$49,0),MATCH(AF$5,Escalators!$I$43:$U$43,0))</f>
        <v>0</v>
      </c>
      <c r="AG7" s="47">
        <f t="shared" ref="AG7:AG31" si="23">SUM(AB7:AF7)</f>
        <v>0</v>
      </c>
      <c r="AH7" s="47">
        <f>INDEX(Direct_Cost_Splits_Network,MATCH($H7,RIN_Asset_Cat_Network,0),MATCH($AY$4,Direct_Cost_Type,0))*$K7*INDEX(Act_Type_Augex_Splits,MATCH($I7,Act_Type_Augex,0),MATCH(AH$4,Mat_Type,0))*INDEX(Escalators!$I$44:$U$49,MATCH(AH$4,Escalators!$C$44:$C$49,0),MATCH(AH$5,Escalators!$I$43:$U$43,0))</f>
        <v>0</v>
      </c>
      <c r="AI7" s="47">
        <f>INDEX(Direct_Cost_Splits_Network,MATCH($H7,RIN_Asset_Cat_Network,0),MATCH($AY$4,Direct_Cost_Type,0))*$K7*INDEX(Act_Type_Augex_Splits,MATCH($I7,Act_Type_Augex,0),MATCH(AI$4,Mat_Type,0))*INDEX(Escalators!$I$44:$U$49,MATCH(AI$4,Escalators!$C$44:$C$49,0),MATCH(AI$5,Escalators!$I$43:$U$43,0))</f>
        <v>0</v>
      </c>
      <c r="AJ7" s="47">
        <f>INDEX(Direct_Cost_Splits_Network,MATCH($H7,RIN_Asset_Cat_Network,0),MATCH($AY$4,Direct_Cost_Type,0))*$K7*INDEX(Act_Type_Augex_Splits,MATCH($I7,Act_Type_Augex,0),MATCH(AJ$4,Mat_Type,0))*INDEX(Escalators!$I$44:$U$49,MATCH(AJ$4,Escalators!$C$44:$C$49,0),MATCH(AJ$5,Escalators!$I$43:$U$43,0))</f>
        <v>0</v>
      </c>
      <c r="AK7" s="47">
        <f>INDEX(Direct_Cost_Splits_Network,MATCH($H7,RIN_Asset_Cat_Network,0),MATCH($AY$4,Direct_Cost_Type,0))*$K7*INDEX(Act_Type_Augex_Splits,MATCH($I7,Act_Type_Augex,0),MATCH(AK$4,Mat_Type,0))*INDEX(Escalators!$I$44:$U$49,MATCH(AK$4,Escalators!$C$44:$C$49,0),MATCH(AK$5,Escalators!$I$43:$U$43,0))</f>
        <v>0</v>
      </c>
      <c r="AL7" s="47">
        <f>INDEX(Direct_Cost_Splits_Network,MATCH($H7,RIN_Asset_Cat_Network,0),MATCH($AY$4,Direct_Cost_Type,0))*$K7*INDEX(Act_Type_Augex_Splits,MATCH($I7,Act_Type_Augex,0),MATCH(AL$4,Mat_Type,0))*INDEX(Escalators!$I$44:$U$49,MATCH(AL$4,Escalators!$C$44:$C$49,0),MATCH(AL$5,Escalators!$I$43:$U$43,0))</f>
        <v>0</v>
      </c>
      <c r="AM7" s="47">
        <f t="shared" ref="AM7:AM31" si="24">SUM(AH7:AL7)</f>
        <v>0</v>
      </c>
      <c r="AN7" s="47">
        <f>INDEX(Direct_Cost_Splits_Network,MATCH($H7,RIN_Asset_Cat_Network,0),MATCH($AY$4,Direct_Cost_Type,0))*$L7*INDEX(Act_Type_Augex_Splits,MATCH($I7,Act_Type_Augex,0),MATCH(AN$4,Mat_Type,0))*INDEX(Escalators!$I$44:$U$49,MATCH(AN$4,Escalators!$C$44:$C$49,0),MATCH(AN$5,Escalators!$I$43:$U$43,0))</f>
        <v>0</v>
      </c>
      <c r="AO7" s="47">
        <f>INDEX(Direct_Cost_Splits_Network,MATCH($H7,RIN_Asset_Cat_Network,0),MATCH($AY$4,Direct_Cost_Type,0))*$L7*INDEX(Act_Type_Augex_Splits,MATCH($I7,Act_Type_Augex,0),MATCH(AO$4,Mat_Type,0))*INDEX(Escalators!$I$44:$U$49,MATCH(AO$4,Escalators!$C$44:$C$49,0),MATCH(AO$5,Escalators!$I$43:$U$43,0))</f>
        <v>0</v>
      </c>
      <c r="AP7" s="47">
        <f>INDEX(Direct_Cost_Splits_Network,MATCH($H7,RIN_Asset_Cat_Network,0),MATCH($AY$4,Direct_Cost_Type,0))*$L7*INDEX(Act_Type_Augex_Splits,MATCH($I7,Act_Type_Augex,0),MATCH(AP$4,Mat_Type,0))*INDEX(Escalators!$I$44:$U$49,MATCH(AP$4,Escalators!$C$44:$C$49,0),MATCH(AP$5,Escalators!$I$43:$U$43,0))</f>
        <v>0</v>
      </c>
      <c r="AQ7" s="47">
        <f>INDEX(Direct_Cost_Splits_Network,MATCH($H7,RIN_Asset_Cat_Network,0),MATCH($AY$4,Direct_Cost_Type,0))*$L7*INDEX(Act_Type_Augex_Splits,MATCH($I7,Act_Type_Augex,0),MATCH(AQ$4,Mat_Type,0))*INDEX(Escalators!$I$44:$U$49,MATCH(AQ$4,Escalators!$C$44:$C$49,0),MATCH(AQ$5,Escalators!$I$43:$U$43,0))</f>
        <v>0</v>
      </c>
      <c r="AR7" s="47">
        <f>INDEX(Direct_Cost_Splits_Network,MATCH($H7,RIN_Asset_Cat_Network,0),MATCH($AY$4,Direct_Cost_Type,0))*$L7*INDEX(Act_Type_Augex_Splits,MATCH($I7,Act_Type_Augex,0),MATCH(AR$4,Mat_Type,0))*INDEX(Escalators!$I$44:$U$49,MATCH(AR$4,Escalators!$C$44:$C$49,0),MATCH(AR$5,Escalators!$I$43:$U$43,0))</f>
        <v>0</v>
      </c>
      <c r="AS7" s="47">
        <f t="shared" si="8"/>
        <v>0</v>
      </c>
      <c r="AT7" s="47">
        <f>INDEX(Direct_Cost_Splits_Network,MATCH($H7,RIN_Asset_Cat_Network,0),MATCH($AY$4,Direct_Cost_Type,0))*$M7*INDEX(Act_Type_Augex_Splits,MATCH($I7,Act_Type_Augex,0),MATCH(AT$4,Mat_Type,0))*INDEX(Escalators!$I$44:$U$49,MATCH(AT$4,Escalators!$C$44:$C$49,0),MATCH(AT$5,Escalators!$I$43:$U$43,0))</f>
        <v>0</v>
      </c>
      <c r="AU7" s="47">
        <f>INDEX(Direct_Cost_Splits_Network,MATCH($H7,RIN_Asset_Cat_Network,0),MATCH($AY$4,Direct_Cost_Type,0))*$M7*INDEX(Act_Type_Augex_Splits,MATCH($I7,Act_Type_Augex,0),MATCH(AU$4,Mat_Type,0))*INDEX(Escalators!$I$44:$U$49,MATCH(AU$4,Escalators!$C$44:$C$49,0),MATCH(AU$5,Escalators!$I$43:$U$43,0))</f>
        <v>0</v>
      </c>
      <c r="AV7" s="47">
        <f>INDEX(Direct_Cost_Splits_Network,MATCH($H7,RIN_Asset_Cat_Network,0),MATCH($AY$4,Direct_Cost_Type,0))*$M7*INDEX(Act_Type_Augex_Splits,MATCH($I7,Act_Type_Augex,0),MATCH(AV$4,Mat_Type,0))*INDEX(Escalators!$I$44:$U$49,MATCH(AV$4,Escalators!$C$44:$C$49,0),MATCH(AV$5,Escalators!$I$43:$U$43,0))</f>
        <v>0</v>
      </c>
      <c r="AW7" s="47">
        <f>INDEX(Direct_Cost_Splits_Network,MATCH($H7,RIN_Asset_Cat_Network,0),MATCH($AY$4,Direct_Cost_Type,0))*$M7*INDEX(Act_Type_Augex_Splits,MATCH($I7,Act_Type_Augex,0),MATCH(AW$4,Mat_Type,0))*INDEX(Escalators!$I$44:$U$49,MATCH(AW$4,Escalators!$C$44:$C$49,0),MATCH(AW$5,Escalators!$I$43:$U$43,0))</f>
        <v>0</v>
      </c>
      <c r="AX7" s="47">
        <f>INDEX(Direct_Cost_Splits_Network,MATCH($H7,RIN_Asset_Cat_Network,0),MATCH($AY$4,Direct_Cost_Type,0))*$M7*INDEX(Act_Type_Augex_Splits,MATCH($I7,Act_Type_Augex,0),MATCH(AX$4,Mat_Type,0))*INDEX(Escalators!$I$44:$U$49,MATCH(AX$4,Escalators!$C$44:$C$49,0),MATCH(AX$5,Escalators!$I$43:$U$43,0))</f>
        <v>0</v>
      </c>
      <c r="AY7" s="47">
        <f t="shared" si="9"/>
        <v>0</v>
      </c>
      <c r="AZ7" s="47">
        <f>INDEX(Direct_Cost_Splits_Network,MATCH($H7,RIN_Asset_Cat_Network,0),MATCH($BE$4,Direct_Cost_Type,0))*$N7*INDEX(Act_Type_Augex_Splits,MATCH($I7,Act_Type_Augex,0),MATCH(AZ$4,Mat_Type,0))*INDEX(Escalators!$I$44:$U$49,MATCH(AZ$4,Escalators!$C$44:$C$49,0),MATCH(AZ$5,Escalators!$I$43:$U$43,0))</f>
        <v>0</v>
      </c>
      <c r="BA7" s="47">
        <f>INDEX(Direct_Cost_Splits_Network,MATCH($H7,RIN_Asset_Cat_Network,0),MATCH($BE$4,Direct_Cost_Type,0))*$N7*INDEX(Act_Type_Augex_Splits,MATCH($I7,Act_Type_Augex,0),MATCH(BA$4,Mat_Type,0))*INDEX(Escalators!$I$44:$U$49,MATCH(BA$4,Escalators!$C$44:$C$49,0),MATCH(BA$5,Escalators!$I$43:$U$43,0))</f>
        <v>0</v>
      </c>
      <c r="BB7" s="47">
        <f>INDEX(Direct_Cost_Splits_Network,MATCH($H7,RIN_Asset_Cat_Network,0),MATCH($BE$4,Direct_Cost_Type,0))*$N7*INDEX(Act_Type_Augex_Splits,MATCH($I7,Act_Type_Augex,0),MATCH(BB$4,Mat_Type,0))*INDEX(Escalators!$I$44:$U$49,MATCH(BB$4,Escalators!$C$44:$C$49,0),MATCH(BB$5,Escalators!$I$43:$U$43,0))</f>
        <v>0</v>
      </c>
      <c r="BC7" s="47">
        <f>INDEX(Direct_Cost_Splits_Network,MATCH($H7,RIN_Asset_Cat_Network,0),MATCH($BE$4,Direct_Cost_Type,0))*$N7*INDEX(Act_Type_Augex_Splits,MATCH($I7,Act_Type_Augex,0),MATCH(BC$4,Mat_Type,0))*INDEX(Escalators!$I$44:$U$49,MATCH(BC$4,Escalators!$C$44:$C$49,0),MATCH(BC$5,Escalators!$I$43:$U$43,0))</f>
        <v>0</v>
      </c>
      <c r="BD7" s="47">
        <f>INDEX(Direct_Cost_Splits_Network,MATCH($H7,RIN_Asset_Cat_Network,0),MATCH($BE$4,Direct_Cost_Type,0))*$N7*INDEX(Act_Type_Augex_Splits,MATCH($I7,Act_Type_Augex,0),MATCH(BD$4,Mat_Type,0))*INDEX(Escalators!$I$44:$U$49,MATCH(BD$4,Escalators!$C$44:$C$49,0),MATCH(BD$5,Escalators!$I$43:$U$43,0))</f>
        <v>0</v>
      </c>
      <c r="BE7" s="47">
        <f t="shared" si="10"/>
        <v>0</v>
      </c>
      <c r="BF7" s="47">
        <f>INDEX(Direct_Cost_Splits_Network,MATCH($H7,RIN_Asset_Cat_Network,0),MATCH($BK$4,Direct_Cost_Type,0))*$O7*INDEX(Act_Type_Augex_Splits,MATCH($I7,Act_Type_Augex,0),MATCH(BF$4,Mat_Type,0))*INDEX(Escalators!$I$44:$U$49,MATCH(BF$4,Escalators!$C$44:$C$49,0),MATCH(BF$5,Escalators!$I$43:$U$43,0))</f>
        <v>0</v>
      </c>
      <c r="BG7" s="47">
        <f>INDEX(Direct_Cost_Splits_Network,MATCH($H7,RIN_Asset_Cat_Network,0),MATCH($BK$4,Direct_Cost_Type,0))*$O7*INDEX(Act_Type_Augex_Splits,MATCH($I7,Act_Type_Augex,0),MATCH(BG$4,Mat_Type,0))*INDEX(Escalators!$I$44:$U$49,MATCH(BG$4,Escalators!$C$44:$C$49,0),MATCH(BG$5,Escalators!$I$43:$U$43,0))</f>
        <v>0</v>
      </c>
      <c r="BH7" s="47">
        <f>INDEX(Direct_Cost_Splits_Network,MATCH($H7,RIN_Asset_Cat_Network,0),MATCH($BK$4,Direct_Cost_Type,0))*$O7*INDEX(Act_Type_Augex_Splits,MATCH($I7,Act_Type_Augex,0),MATCH(BH$4,Mat_Type,0))*INDEX(Escalators!$I$44:$U$49,MATCH(BH$4,Escalators!$C$44:$C$49,0),MATCH(BH$5,Escalators!$I$43:$U$43,0))</f>
        <v>0</v>
      </c>
      <c r="BI7" s="47">
        <f>INDEX(Direct_Cost_Splits_Network,MATCH($H7,RIN_Asset_Cat_Network,0),MATCH($BK$4,Direct_Cost_Type,0))*$O7*INDEX(Act_Type_Augex_Splits,MATCH($I7,Act_Type_Augex,0),MATCH(BI$4,Mat_Type,0))*INDEX(Escalators!$I$44:$U$49,MATCH(BI$4,Escalators!$C$44:$C$49,0),MATCH(BI$5,Escalators!$I$43:$U$43,0))</f>
        <v>0</v>
      </c>
      <c r="BJ7" s="47">
        <f>INDEX(Direct_Cost_Splits_Network,MATCH($H7,RIN_Asset_Cat_Network,0),MATCH($BK$4,Direct_Cost_Type,0))*$O7*INDEX(Act_Type_Augex_Splits,MATCH($I7,Act_Type_Augex,0),MATCH(BJ$4,Mat_Type,0))*INDEX(Escalators!$I$44:$U$49,MATCH(BJ$4,Escalators!$C$44:$C$49,0),MATCH(BJ$5,Escalators!$I$43:$U$43,0))</f>
        <v>0</v>
      </c>
      <c r="BK7" s="47">
        <f t="shared" si="11"/>
        <v>0</v>
      </c>
      <c r="BL7" s="47">
        <f>INDEX(Direct_Cost_Splits_Network,MATCH($H7,RIN_Asset_Cat_Network,0),MATCH($BQ$4,Direct_Cost_Type,0))*$P7*INDEX(Act_Type_Augex_Splits,MATCH($I7,Act_Type_Augex,0),MATCH(BL$4,Mat_Type,0))*INDEX(Escalators!$I$44:$U$49,MATCH(BL$4,Escalators!$C$44:$C$49,0),MATCH(BL$5,Escalators!$I$43:$U$43,0))</f>
        <v>0</v>
      </c>
      <c r="BM7" s="47">
        <f>INDEX(Direct_Cost_Splits_Network,MATCH($H7,RIN_Asset_Cat_Network,0),MATCH($BQ$4,Direct_Cost_Type,0))*$P7*INDEX(Act_Type_Augex_Splits,MATCH($I7,Act_Type_Augex,0),MATCH(BM$4,Mat_Type,0))*INDEX(Escalators!$I$44:$U$49,MATCH(BM$4,Escalators!$C$44:$C$49,0),MATCH(BM$5,Escalators!$I$43:$U$43,0))</f>
        <v>0</v>
      </c>
      <c r="BN7" s="47">
        <f>INDEX(Direct_Cost_Splits_Network,MATCH($H7,RIN_Asset_Cat_Network,0),MATCH($BQ$4,Direct_Cost_Type,0))*$P7*INDEX(Act_Type_Augex_Splits,MATCH($I7,Act_Type_Augex,0),MATCH(BN$4,Mat_Type,0))*INDEX(Escalators!$I$44:$U$49,MATCH(BN$4,Escalators!$C$44:$C$49,0),MATCH(BN$5,Escalators!$I$43:$U$43,0))</f>
        <v>0</v>
      </c>
      <c r="BO7" s="47">
        <f>INDEX(Direct_Cost_Splits_Network,MATCH($H7,RIN_Asset_Cat_Network,0),MATCH($BQ$4,Direct_Cost_Type,0))*$P7*INDEX(Act_Type_Augex_Splits,MATCH($I7,Act_Type_Augex,0),MATCH(BO$4,Mat_Type,0))*INDEX(Escalators!$I$44:$U$49,MATCH(BO$4,Escalators!$C$44:$C$49,0),MATCH(BO$5,Escalators!$I$43:$U$43,0))</f>
        <v>0</v>
      </c>
      <c r="BP7" s="47">
        <f>INDEX(Direct_Cost_Splits_Network,MATCH($H7,RIN_Asset_Cat_Network,0),MATCH($BQ$4,Direct_Cost_Type,0))*$P7*INDEX(Act_Type_Augex_Splits,MATCH($I7,Act_Type_Augex,0),MATCH(BP$4,Mat_Type,0))*INDEX(Escalators!$I$44:$U$49,MATCH(BP$4,Escalators!$C$44:$C$49,0),MATCH(BP$5,Escalators!$I$43:$U$43,0))</f>
        <v>0</v>
      </c>
      <c r="BQ7" s="47">
        <f t="shared" si="12"/>
        <v>0</v>
      </c>
      <c r="BR7" s="47">
        <f>INDEX(Direct_Cost_Splits_Network,MATCH($H7,RIN_Asset_Cat_Network,0),MATCH($BW$4,Direct_Cost_Type,0))*$Q7*INDEX(Act_Type_Augex_Splits,MATCH($I7,Act_Type_Augex,0),MATCH(BR$4,Mat_Type,0))*INDEX(Escalators!$I$44:$U$49,MATCH(BR$4,Escalators!$C$44:$C$49,0),MATCH(BR$5,Escalators!$I$43:$U$43,0))</f>
        <v>0</v>
      </c>
      <c r="BS7" s="47">
        <f>INDEX(Direct_Cost_Splits_Network,MATCH($H7,RIN_Asset_Cat_Network,0),MATCH($BW$4,Direct_Cost_Type,0))*$Q7*INDEX(Act_Type_Augex_Splits,MATCH($I7,Act_Type_Augex,0),MATCH(BS$4,Mat_Type,0))*INDEX(Escalators!$I$44:$U$49,MATCH(BS$4,Escalators!$C$44:$C$49,0),MATCH(BS$5,Escalators!$I$43:$U$43,0))</f>
        <v>0</v>
      </c>
      <c r="BT7" s="47">
        <f>INDEX(Direct_Cost_Splits_Network,MATCH($H7,RIN_Asset_Cat_Network,0),MATCH($BW$4,Direct_Cost_Type,0))*$Q7*INDEX(Act_Type_Augex_Splits,MATCH($I7,Act_Type_Augex,0),MATCH(BT$4,Mat_Type,0))*INDEX(Escalators!$I$44:$U$49,MATCH(BT$4,Escalators!$C$44:$C$49,0),MATCH(BT$5,Escalators!$I$43:$U$43,0))</f>
        <v>0</v>
      </c>
      <c r="BU7" s="47">
        <f>INDEX(Direct_Cost_Splits_Network,MATCH($H7,RIN_Asset_Cat_Network,0),MATCH($BW$4,Direct_Cost_Type,0))*$Q7*INDEX(Act_Type_Augex_Splits,MATCH($I7,Act_Type_Augex,0),MATCH(BU$4,Mat_Type,0))*INDEX(Escalators!$I$44:$U$49,MATCH(BU$4,Escalators!$C$44:$C$49,0),MATCH(BU$5,Escalators!$I$43:$U$43,0))</f>
        <v>0</v>
      </c>
      <c r="BV7" s="47">
        <f>INDEX(Direct_Cost_Splits_Network,MATCH($H7,RIN_Asset_Cat_Network,0),MATCH($BW$4,Direct_Cost_Type,0))*$Q7*INDEX(Act_Type_Augex_Splits,MATCH($I7,Act_Type_Augex,0),MATCH(BV$4,Mat_Type,0))*INDEX(Escalators!$I$44:$U$49,MATCH(BV$4,Escalators!$C$44:$C$49,0),MATCH(BV$5,Escalators!$I$43:$U$43,0))</f>
        <v>0</v>
      </c>
      <c r="BW7" s="47">
        <f t="shared" si="13"/>
        <v>0</v>
      </c>
      <c r="BY7" s="47">
        <f>INDEX(Direct_Cost_Splits_Network,MATCH($H7,RIN_Asset_Cat_Network,0),MATCH($BY$4,Direct_Cost_Type,0))*J7*HLOOKUP(BY$5,Escalators!$I$25:$U$30,6,FALSE)</f>
        <v>0</v>
      </c>
      <c r="BZ7" s="47">
        <f>INDEX(Direct_Cost_Splits_Network,MATCH($H7,RIN_Asset_Cat_Network,0),MATCH($BY$4,Direct_Cost_Type,0))*K7*HLOOKUP(BZ$5,Escalators!$I$25:$U$30,6,FALSE)</f>
        <v>0</v>
      </c>
      <c r="CA7" s="47">
        <f>INDEX(Direct_Cost_Splits_Network,MATCH($H7,RIN_Asset_Cat_Network,0),MATCH($BY$4,Direct_Cost_Type,0))*L7*HLOOKUP(CA$5,Escalators!$I$25:$U$30,6,FALSE)</f>
        <v>0</v>
      </c>
      <c r="CB7" s="47">
        <f>INDEX(Direct_Cost_Splits_Network,MATCH($H7,RIN_Asset_Cat_Network,0),MATCH($BY$4,Direct_Cost_Type,0))*M7*HLOOKUP(CB$5,Escalators!$I$25:$U$30,6,FALSE)</f>
        <v>0</v>
      </c>
      <c r="CC7" s="47">
        <f>INDEX(Direct_Cost_Splits_Network,MATCH($H7,RIN_Asset_Cat_Network,0),MATCH($BY$4,Direct_Cost_Type,0))*N7*HLOOKUP(CC$5,Escalators!$I$25:$U$30,6,FALSE)</f>
        <v>0</v>
      </c>
      <c r="CD7" s="47">
        <f>INDEX(Direct_Cost_Splits_Network,MATCH($H7,RIN_Asset_Cat_Network,0),MATCH($BY$4,Direct_Cost_Type,0))*O7*HLOOKUP(CD$5,Escalators!$I$25:$U$30,6,FALSE)</f>
        <v>0</v>
      </c>
      <c r="CE7" s="47">
        <f>INDEX(Direct_Cost_Splits_Network,MATCH($H7,RIN_Asset_Cat_Network,0),MATCH($BY$4,Direct_Cost_Type,0))*P7*HLOOKUP(CE$5,Escalators!$I$25:$U$30,6,FALSE)</f>
        <v>0</v>
      </c>
      <c r="CF7" s="47">
        <f>INDEX(Direct_Cost_Splits_Network,MATCH($H7,RIN_Asset_Cat_Network,0),MATCH($BY$4,Direct_Cost_Type,0))*Q7*HLOOKUP(CF$5,Escalators!$I$25:$U$30,6,FALSE)</f>
        <v>0</v>
      </c>
      <c r="CH7" s="47">
        <f t="shared" si="14"/>
        <v>0</v>
      </c>
      <c r="CI7" s="47">
        <f t="shared" si="14"/>
        <v>0</v>
      </c>
      <c r="CJ7" s="47">
        <f t="shared" si="14"/>
        <v>0</v>
      </c>
      <c r="CK7" s="47">
        <f t="shared" si="14"/>
        <v>0</v>
      </c>
      <c r="CL7" s="47">
        <f t="shared" si="14"/>
        <v>0</v>
      </c>
      <c r="CM7" s="47">
        <f t="shared" si="14"/>
        <v>0</v>
      </c>
      <c r="CN7" s="47">
        <f t="shared" si="14"/>
        <v>0</v>
      </c>
      <c r="CO7" s="47">
        <f t="shared" si="14"/>
        <v>0</v>
      </c>
      <c r="CQ7" s="373">
        <f t="shared" si="15"/>
        <v>0</v>
      </c>
      <c r="CR7" s="47">
        <f t="shared" si="16"/>
        <v>0</v>
      </c>
      <c r="CS7" s="47">
        <f t="shared" si="17"/>
        <v>0</v>
      </c>
      <c r="CT7" s="47">
        <f t="shared" si="18"/>
        <v>0</v>
      </c>
      <c r="CU7" s="47">
        <f t="shared" si="19"/>
        <v>0</v>
      </c>
      <c r="CV7" s="47">
        <f t="shared" si="20"/>
        <v>0</v>
      </c>
      <c r="CW7" s="47">
        <f t="shared" si="21"/>
        <v>0</v>
      </c>
      <c r="CX7" s="47">
        <f t="shared" si="22"/>
        <v>0</v>
      </c>
      <c r="CZ7" s="316"/>
      <c r="DA7" s="316"/>
      <c r="DB7" s="316"/>
      <c r="DC7" s="316"/>
      <c r="DD7" s="316"/>
      <c r="DE7" s="39"/>
    </row>
    <row r="8" spans="1:109" x14ac:dyDescent="0.3">
      <c r="B8" s="7" t="s">
        <v>426</v>
      </c>
      <c r="C8" s="7" t="s">
        <v>536</v>
      </c>
      <c r="D8" s="7"/>
      <c r="E8" s="7" t="s">
        <v>44</v>
      </c>
      <c r="F8" s="7" t="s">
        <v>51</v>
      </c>
      <c r="G8" s="7" t="s">
        <v>10</v>
      </c>
      <c r="H8" s="7" t="s">
        <v>164</v>
      </c>
      <c r="I8" s="7" t="s">
        <v>214</v>
      </c>
      <c r="J8" s="45"/>
      <c r="K8" s="45"/>
      <c r="L8" s="45"/>
      <c r="M8" s="45">
        <v>150</v>
      </c>
      <c r="N8" s="45">
        <v>125</v>
      </c>
      <c r="O8" s="45">
        <v>0</v>
      </c>
      <c r="P8" s="45">
        <v>0</v>
      </c>
      <c r="Q8" s="45">
        <v>0</v>
      </c>
      <c r="S8" s="47">
        <f>INDEX(Direct_Cost_Splits_Network,MATCH($H8,RIN_Asset_Cat_Network,0),MATCH($S$4,Direct_Cost_Type,0))*J8*HLOOKUP(S$5,Escalators!$I$25:$U$30,3,FALSE)</f>
        <v>0</v>
      </c>
      <c r="T8" s="47">
        <f>INDEX(Direct_Cost_Splits_Network,MATCH($H8,RIN_Asset_Cat_Network,0),MATCH($S$4,Direct_Cost_Type,0))*K8*HLOOKUP(T$5,Escalators!$I$25:$U$30,3,FALSE)</f>
        <v>0</v>
      </c>
      <c r="U8" s="47">
        <f>INDEX(Direct_Cost_Splits_Network,MATCH($H8,RIN_Asset_Cat_Network,0),MATCH($S$4,Direct_Cost_Type,0))*L8*HLOOKUP(U$5,Escalators!$I$25:$U$30,3,FALSE)</f>
        <v>0</v>
      </c>
      <c r="V8" s="47">
        <f>INDEX(Direct_Cost_Splits_Network,MATCH($H8,RIN_Asset_Cat_Network,0),MATCH($S$4,Direct_Cost_Type,0))*M8*HLOOKUP(V$5,Escalators!$I$25:$U$30,3,FALSE)</f>
        <v>24.001076613887928</v>
      </c>
      <c r="W8" s="47">
        <f>INDEX(Direct_Cost_Splits_Network,MATCH($H8,RIN_Asset_Cat_Network,0),MATCH($S$4,Direct_Cost_Type,0))*N8*HLOOKUP(W$5,Escalators!$I$25:$U$30,3,FALSE)</f>
        <v>20.206109628471992</v>
      </c>
      <c r="X8" s="47">
        <f>INDEX(Direct_Cost_Splits_Network,MATCH($H8,RIN_Asset_Cat_Network,0),MATCH($S$4,Direct_Cost_Type,0))*O8*HLOOKUP(X$5,Escalators!$I$25:$U$30,3,FALSE)</f>
        <v>0</v>
      </c>
      <c r="Y8" s="47">
        <f>INDEX(Direct_Cost_Splits_Network,MATCH($H8,RIN_Asset_Cat_Network,0),MATCH($S$4,Direct_Cost_Type,0))*P8*HLOOKUP(Y$5,Escalators!$I$25:$U$30,3,FALSE)</f>
        <v>0</v>
      </c>
      <c r="Z8" s="47">
        <f>INDEX(Direct_Cost_Splits_Network,MATCH($H8,RIN_Asset_Cat_Network,0),MATCH($S$4,Direct_Cost_Type,0))*Q8*HLOOKUP(Z$5,Escalators!$I$25:$U$30,3,FALSE)</f>
        <v>0</v>
      </c>
      <c r="AB8" s="6">
        <f>INDEX(Direct_Cost_Splits_Network,MATCH($H8,RIN_Asset_Cat_Network,0),MATCH($AG$4,Direct_Cost_Type,0))*$J8*INDEX(Act_Type_Augex_Splits,MATCH($I8,Act_Type_Augex,0),MATCH(AB$4,Mat_Type,0))*INDEX(Escalators!$I$44:$U$49,MATCH(AB$4,Escalators!$C$44:$C$49,0),MATCH(AB$5,Escalators!$I$43:$U$43,0))</f>
        <v>0</v>
      </c>
      <c r="AC8" s="6">
        <f>INDEX(Direct_Cost_Splits_Network,MATCH($H8,RIN_Asset_Cat_Network,0),MATCH($AG$4,Direct_Cost_Type,0))*$J8*INDEX(Act_Type_Augex_Splits,MATCH($I8,Act_Type_Augex,0),MATCH(AC$4,Mat_Type,0))*INDEX(Escalators!$I$44:$U$49,MATCH(AC$4,Escalators!$C$44:$C$49,0),MATCH(AC$5,Escalators!$I$43:$U$43,0))</f>
        <v>0</v>
      </c>
      <c r="AD8" s="6">
        <f>INDEX(Direct_Cost_Splits_Network,MATCH($H8,RIN_Asset_Cat_Network,0),MATCH($AG$4,Direct_Cost_Type,0))*$J8*INDEX(Act_Type_Augex_Splits,MATCH($I8,Act_Type_Augex,0),MATCH(AD$4,Mat_Type,0))*INDEX(Escalators!$I$44:$U$49,MATCH(AD$4,Escalators!$C$44:$C$49,0),MATCH(AD$5,Escalators!$I$43:$U$43,0))</f>
        <v>0</v>
      </c>
      <c r="AE8" s="6">
        <f>INDEX(Direct_Cost_Splits_Network,MATCH($H8,RIN_Asset_Cat_Network,0),MATCH($AG$4,Direct_Cost_Type,0))*$J8*INDEX(Act_Type_Augex_Splits,MATCH($I8,Act_Type_Augex,0),MATCH(AE$4,Mat_Type,0))*INDEX(Escalators!$I$44:$U$49,MATCH(AE$4,Escalators!$C$44:$C$49,0),MATCH(AE$5,Escalators!$I$43:$U$43,0))</f>
        <v>0</v>
      </c>
      <c r="AF8" s="6">
        <f>INDEX(Direct_Cost_Splits_Network,MATCH($H8,RIN_Asset_Cat_Network,0),MATCH($AG$4,Direct_Cost_Type,0))*$J8*INDEX(Act_Type_Augex_Splits,MATCH($I8,Act_Type_Augex,0),MATCH(AF$4,Mat_Type,0))*INDEX(Escalators!$I$44:$U$49,MATCH(AF$4,Escalators!$C$44:$C$49,0),MATCH(AF$5,Escalators!$I$43:$U$43,0))</f>
        <v>0</v>
      </c>
      <c r="AG8" s="47">
        <f t="shared" si="23"/>
        <v>0</v>
      </c>
      <c r="AH8" s="47">
        <f>INDEX(Direct_Cost_Splits_Network,MATCH($H8,RIN_Asset_Cat_Network,0),MATCH($AY$4,Direct_Cost_Type,0))*$K8*INDEX(Act_Type_Augex_Splits,MATCH($I8,Act_Type_Augex,0),MATCH(AH$4,Mat_Type,0))*INDEX(Escalators!$I$44:$U$49,MATCH(AH$4,Escalators!$C$44:$C$49,0),MATCH(AH$5,Escalators!$I$43:$U$43,0))</f>
        <v>0</v>
      </c>
      <c r="AI8" s="47">
        <f>INDEX(Direct_Cost_Splits_Network,MATCH($H8,RIN_Asset_Cat_Network,0),MATCH($AY$4,Direct_Cost_Type,0))*$K8*INDEX(Act_Type_Augex_Splits,MATCH($I8,Act_Type_Augex,0),MATCH(AI$4,Mat_Type,0))*INDEX(Escalators!$I$44:$U$49,MATCH(AI$4,Escalators!$C$44:$C$49,0),MATCH(AI$5,Escalators!$I$43:$U$43,0))</f>
        <v>0</v>
      </c>
      <c r="AJ8" s="47">
        <f>INDEX(Direct_Cost_Splits_Network,MATCH($H8,RIN_Asset_Cat_Network,0),MATCH($AY$4,Direct_Cost_Type,0))*$K8*INDEX(Act_Type_Augex_Splits,MATCH($I8,Act_Type_Augex,0),MATCH(AJ$4,Mat_Type,0))*INDEX(Escalators!$I$44:$U$49,MATCH(AJ$4,Escalators!$C$44:$C$49,0),MATCH(AJ$5,Escalators!$I$43:$U$43,0))</f>
        <v>0</v>
      </c>
      <c r="AK8" s="47">
        <f>INDEX(Direct_Cost_Splits_Network,MATCH($H8,RIN_Asset_Cat_Network,0),MATCH($AY$4,Direct_Cost_Type,0))*$K8*INDEX(Act_Type_Augex_Splits,MATCH($I8,Act_Type_Augex,0),MATCH(AK$4,Mat_Type,0))*INDEX(Escalators!$I$44:$U$49,MATCH(AK$4,Escalators!$C$44:$C$49,0),MATCH(AK$5,Escalators!$I$43:$U$43,0))</f>
        <v>0</v>
      </c>
      <c r="AL8" s="47">
        <f>INDEX(Direct_Cost_Splits_Network,MATCH($H8,RIN_Asset_Cat_Network,0),MATCH($AY$4,Direct_Cost_Type,0))*$K8*INDEX(Act_Type_Augex_Splits,MATCH($I8,Act_Type_Augex,0),MATCH(AL$4,Mat_Type,0))*INDEX(Escalators!$I$44:$U$49,MATCH(AL$4,Escalators!$C$44:$C$49,0),MATCH(AL$5,Escalators!$I$43:$U$43,0))</f>
        <v>0</v>
      </c>
      <c r="AM8" s="47">
        <f t="shared" si="24"/>
        <v>0</v>
      </c>
      <c r="AN8" s="47">
        <f>INDEX(Direct_Cost_Splits_Network,MATCH($H8,RIN_Asset_Cat_Network,0),MATCH($AY$4,Direct_Cost_Type,0))*$L8*INDEX(Act_Type_Augex_Splits,MATCH($I8,Act_Type_Augex,0),MATCH(AN$4,Mat_Type,0))*INDEX(Escalators!$I$44:$U$49,MATCH(AN$4,Escalators!$C$44:$C$49,0),MATCH(AN$5,Escalators!$I$43:$U$43,0))</f>
        <v>0</v>
      </c>
      <c r="AO8" s="47">
        <f>INDEX(Direct_Cost_Splits_Network,MATCH($H8,RIN_Asset_Cat_Network,0),MATCH($AY$4,Direct_Cost_Type,0))*$L8*INDEX(Act_Type_Augex_Splits,MATCH($I8,Act_Type_Augex,0),MATCH(AO$4,Mat_Type,0))*INDEX(Escalators!$I$44:$U$49,MATCH(AO$4,Escalators!$C$44:$C$49,0),MATCH(AO$5,Escalators!$I$43:$U$43,0))</f>
        <v>0</v>
      </c>
      <c r="AP8" s="47">
        <f>INDEX(Direct_Cost_Splits_Network,MATCH($H8,RIN_Asset_Cat_Network,0),MATCH($AY$4,Direct_Cost_Type,0))*$L8*INDEX(Act_Type_Augex_Splits,MATCH($I8,Act_Type_Augex,0),MATCH(AP$4,Mat_Type,0))*INDEX(Escalators!$I$44:$U$49,MATCH(AP$4,Escalators!$C$44:$C$49,0),MATCH(AP$5,Escalators!$I$43:$U$43,0))</f>
        <v>0</v>
      </c>
      <c r="AQ8" s="47">
        <f>INDEX(Direct_Cost_Splits_Network,MATCH($H8,RIN_Asset_Cat_Network,0),MATCH($AY$4,Direct_Cost_Type,0))*$L8*INDEX(Act_Type_Augex_Splits,MATCH($I8,Act_Type_Augex,0),MATCH(AQ$4,Mat_Type,0))*INDEX(Escalators!$I$44:$U$49,MATCH(AQ$4,Escalators!$C$44:$C$49,0),MATCH(AQ$5,Escalators!$I$43:$U$43,0))</f>
        <v>0</v>
      </c>
      <c r="AR8" s="47">
        <f>INDEX(Direct_Cost_Splits_Network,MATCH($H8,RIN_Asset_Cat_Network,0),MATCH($AY$4,Direct_Cost_Type,0))*$L8*INDEX(Act_Type_Augex_Splits,MATCH($I8,Act_Type_Augex,0),MATCH(AR$4,Mat_Type,0))*INDEX(Escalators!$I$44:$U$49,MATCH(AR$4,Escalators!$C$44:$C$49,0),MATCH(AR$5,Escalators!$I$43:$U$43,0))</f>
        <v>0</v>
      </c>
      <c r="AS8" s="47">
        <f t="shared" si="8"/>
        <v>0</v>
      </c>
      <c r="AT8" s="47">
        <f>INDEX(Direct_Cost_Splits_Network,MATCH($H8,RIN_Asset_Cat_Network,0),MATCH($AY$4,Direct_Cost_Type,0))*$M8*INDEX(Act_Type_Augex_Splits,MATCH($I8,Act_Type_Augex,0),MATCH(AT$4,Mat_Type,0))*INDEX(Escalators!$I$44:$U$49,MATCH(AT$4,Escalators!$C$44:$C$49,0),MATCH(AT$5,Escalators!$I$43:$U$43,0))</f>
        <v>31.036319303973357</v>
      </c>
      <c r="AU8" s="47">
        <f>INDEX(Direct_Cost_Splits_Network,MATCH($H8,RIN_Asset_Cat_Network,0),MATCH($AY$4,Direct_Cost_Type,0))*$M8*INDEX(Act_Type_Augex_Splits,MATCH($I8,Act_Type_Augex,0),MATCH(AU$4,Mat_Type,0))*INDEX(Escalators!$I$44:$U$49,MATCH(AU$4,Escalators!$C$44:$C$49,0),MATCH(AU$5,Escalators!$I$43:$U$43,0))</f>
        <v>0</v>
      </c>
      <c r="AV8" s="47">
        <f>INDEX(Direct_Cost_Splits_Network,MATCH($H8,RIN_Asset_Cat_Network,0),MATCH($AY$4,Direct_Cost_Type,0))*$M8*INDEX(Act_Type_Augex_Splits,MATCH($I8,Act_Type_Augex,0),MATCH(AV$4,Mat_Type,0))*INDEX(Escalators!$I$44:$U$49,MATCH(AV$4,Escalators!$C$44:$C$49,0),MATCH(AV$5,Escalators!$I$43:$U$43,0))</f>
        <v>6.0219724022634873</v>
      </c>
      <c r="AW8" s="47">
        <f>INDEX(Direct_Cost_Splits_Network,MATCH($H8,RIN_Asset_Cat_Network,0),MATCH($AY$4,Direct_Cost_Type,0))*$M8*INDEX(Act_Type_Augex_Splits,MATCH($I8,Act_Type_Augex,0),MATCH(AW$4,Mat_Type,0))*INDEX(Escalators!$I$44:$U$49,MATCH(AW$4,Escalators!$C$44:$C$49,0),MATCH(AW$5,Escalators!$I$43:$U$43,0))</f>
        <v>0</v>
      </c>
      <c r="AX8" s="47">
        <f>INDEX(Direct_Cost_Splits_Network,MATCH($H8,RIN_Asset_Cat_Network,0),MATCH($AY$4,Direct_Cost_Type,0))*$M8*INDEX(Act_Type_Augex_Splits,MATCH($I8,Act_Type_Augex,0),MATCH(AX$4,Mat_Type,0))*INDEX(Escalators!$I$44:$U$49,MATCH(AX$4,Escalators!$C$44:$C$49,0),MATCH(AX$5,Escalators!$I$43:$U$43,0))</f>
        <v>9.2645729265592109</v>
      </c>
      <c r="AY8" s="47">
        <f t="shared" si="9"/>
        <v>46.322864632796055</v>
      </c>
      <c r="AZ8" s="47">
        <f>INDEX(Direct_Cost_Splits_Network,MATCH($H8,RIN_Asset_Cat_Network,0),MATCH($BE$4,Direct_Cost_Type,0))*$N8*INDEX(Act_Type_Augex_Splits,MATCH($I8,Act_Type_Augex,0),MATCH(AZ$4,Mat_Type,0))*INDEX(Escalators!$I$44:$U$49,MATCH(AZ$4,Escalators!$C$44:$C$49,0),MATCH(AZ$5,Escalators!$I$43:$U$43,0))</f>
        <v>25.863599419977799</v>
      </c>
      <c r="BA8" s="47">
        <f>INDEX(Direct_Cost_Splits_Network,MATCH($H8,RIN_Asset_Cat_Network,0),MATCH($BE$4,Direct_Cost_Type,0))*$N8*INDEX(Act_Type_Augex_Splits,MATCH($I8,Act_Type_Augex,0),MATCH(BA$4,Mat_Type,0))*INDEX(Escalators!$I$44:$U$49,MATCH(BA$4,Escalators!$C$44:$C$49,0),MATCH(BA$5,Escalators!$I$43:$U$43,0))</f>
        <v>0</v>
      </c>
      <c r="BB8" s="47">
        <f>INDEX(Direct_Cost_Splits_Network,MATCH($H8,RIN_Asset_Cat_Network,0),MATCH($BE$4,Direct_Cost_Type,0))*$N8*INDEX(Act_Type_Augex_Splits,MATCH($I8,Act_Type_Augex,0),MATCH(BB$4,Mat_Type,0))*INDEX(Escalators!$I$44:$U$49,MATCH(BB$4,Escalators!$C$44:$C$49,0),MATCH(BB$5,Escalators!$I$43:$U$43,0))</f>
        <v>5.0183103352195726</v>
      </c>
      <c r="BC8" s="47">
        <f>INDEX(Direct_Cost_Splits_Network,MATCH($H8,RIN_Asset_Cat_Network,0),MATCH($BE$4,Direct_Cost_Type,0))*$N8*INDEX(Act_Type_Augex_Splits,MATCH($I8,Act_Type_Augex,0),MATCH(BC$4,Mat_Type,0))*INDEX(Escalators!$I$44:$U$49,MATCH(BC$4,Escalators!$C$44:$C$49,0),MATCH(BC$5,Escalators!$I$43:$U$43,0))</f>
        <v>0</v>
      </c>
      <c r="BD8" s="47">
        <f>INDEX(Direct_Cost_Splits_Network,MATCH($H8,RIN_Asset_Cat_Network,0),MATCH($BE$4,Direct_Cost_Type,0))*$N8*INDEX(Act_Type_Augex_Splits,MATCH($I8,Act_Type_Augex,0),MATCH(BD$4,Mat_Type,0))*INDEX(Escalators!$I$44:$U$49,MATCH(BD$4,Escalators!$C$44:$C$49,0),MATCH(BD$5,Escalators!$I$43:$U$43,0))</f>
        <v>7.7204774387993425</v>
      </c>
      <c r="BE8" s="47">
        <f t="shared" si="10"/>
        <v>38.602387193996712</v>
      </c>
      <c r="BF8" s="47">
        <f>INDEX(Direct_Cost_Splits_Network,MATCH($H8,RIN_Asset_Cat_Network,0),MATCH($BK$4,Direct_Cost_Type,0))*$O8*INDEX(Act_Type_Augex_Splits,MATCH($I8,Act_Type_Augex,0),MATCH(BF$4,Mat_Type,0))*INDEX(Escalators!$I$44:$U$49,MATCH(BF$4,Escalators!$C$44:$C$49,0),MATCH(BF$5,Escalators!$I$43:$U$43,0))</f>
        <v>0</v>
      </c>
      <c r="BG8" s="47">
        <f>INDEX(Direct_Cost_Splits_Network,MATCH($H8,RIN_Asset_Cat_Network,0),MATCH($BK$4,Direct_Cost_Type,0))*$O8*INDEX(Act_Type_Augex_Splits,MATCH($I8,Act_Type_Augex,0),MATCH(BG$4,Mat_Type,0))*INDEX(Escalators!$I$44:$U$49,MATCH(BG$4,Escalators!$C$44:$C$49,0),MATCH(BG$5,Escalators!$I$43:$U$43,0))</f>
        <v>0</v>
      </c>
      <c r="BH8" s="47">
        <f>INDEX(Direct_Cost_Splits_Network,MATCH($H8,RIN_Asset_Cat_Network,0),MATCH($BK$4,Direct_Cost_Type,0))*$O8*INDEX(Act_Type_Augex_Splits,MATCH($I8,Act_Type_Augex,0),MATCH(BH$4,Mat_Type,0))*INDEX(Escalators!$I$44:$U$49,MATCH(BH$4,Escalators!$C$44:$C$49,0),MATCH(BH$5,Escalators!$I$43:$U$43,0))</f>
        <v>0</v>
      </c>
      <c r="BI8" s="47">
        <f>INDEX(Direct_Cost_Splits_Network,MATCH($H8,RIN_Asset_Cat_Network,0),MATCH($BK$4,Direct_Cost_Type,0))*$O8*INDEX(Act_Type_Augex_Splits,MATCH($I8,Act_Type_Augex,0),MATCH(BI$4,Mat_Type,0))*INDEX(Escalators!$I$44:$U$49,MATCH(BI$4,Escalators!$C$44:$C$49,0),MATCH(BI$5,Escalators!$I$43:$U$43,0))</f>
        <v>0</v>
      </c>
      <c r="BJ8" s="47">
        <f>INDEX(Direct_Cost_Splits_Network,MATCH($H8,RIN_Asset_Cat_Network,0),MATCH($BK$4,Direct_Cost_Type,0))*$O8*INDEX(Act_Type_Augex_Splits,MATCH($I8,Act_Type_Augex,0),MATCH(BJ$4,Mat_Type,0))*INDEX(Escalators!$I$44:$U$49,MATCH(BJ$4,Escalators!$C$44:$C$49,0),MATCH(BJ$5,Escalators!$I$43:$U$43,0))</f>
        <v>0</v>
      </c>
      <c r="BK8" s="47">
        <f t="shared" si="11"/>
        <v>0</v>
      </c>
      <c r="BL8" s="47">
        <f>INDEX(Direct_Cost_Splits_Network,MATCH($H8,RIN_Asset_Cat_Network,0),MATCH($BQ$4,Direct_Cost_Type,0))*$P8*INDEX(Act_Type_Augex_Splits,MATCH($I8,Act_Type_Augex,0),MATCH(BL$4,Mat_Type,0))*INDEX(Escalators!$I$44:$U$49,MATCH(BL$4,Escalators!$C$44:$C$49,0),MATCH(BL$5,Escalators!$I$43:$U$43,0))</f>
        <v>0</v>
      </c>
      <c r="BM8" s="47">
        <f>INDEX(Direct_Cost_Splits_Network,MATCH($H8,RIN_Asset_Cat_Network,0),MATCH($BQ$4,Direct_Cost_Type,0))*$P8*INDEX(Act_Type_Augex_Splits,MATCH($I8,Act_Type_Augex,0),MATCH(BM$4,Mat_Type,0))*INDEX(Escalators!$I$44:$U$49,MATCH(BM$4,Escalators!$C$44:$C$49,0),MATCH(BM$5,Escalators!$I$43:$U$43,0))</f>
        <v>0</v>
      </c>
      <c r="BN8" s="47">
        <f>INDEX(Direct_Cost_Splits_Network,MATCH($H8,RIN_Asset_Cat_Network,0),MATCH($BQ$4,Direct_Cost_Type,0))*$P8*INDEX(Act_Type_Augex_Splits,MATCH($I8,Act_Type_Augex,0),MATCH(BN$4,Mat_Type,0))*INDEX(Escalators!$I$44:$U$49,MATCH(BN$4,Escalators!$C$44:$C$49,0),MATCH(BN$5,Escalators!$I$43:$U$43,0))</f>
        <v>0</v>
      </c>
      <c r="BO8" s="47">
        <f>INDEX(Direct_Cost_Splits_Network,MATCH($H8,RIN_Asset_Cat_Network,0),MATCH($BQ$4,Direct_Cost_Type,0))*$P8*INDEX(Act_Type_Augex_Splits,MATCH($I8,Act_Type_Augex,0),MATCH(BO$4,Mat_Type,0))*INDEX(Escalators!$I$44:$U$49,MATCH(BO$4,Escalators!$C$44:$C$49,0),MATCH(BO$5,Escalators!$I$43:$U$43,0))</f>
        <v>0</v>
      </c>
      <c r="BP8" s="47">
        <f>INDEX(Direct_Cost_Splits_Network,MATCH($H8,RIN_Asset_Cat_Network,0),MATCH($BQ$4,Direct_Cost_Type,0))*$P8*INDEX(Act_Type_Augex_Splits,MATCH($I8,Act_Type_Augex,0),MATCH(BP$4,Mat_Type,0))*INDEX(Escalators!$I$44:$U$49,MATCH(BP$4,Escalators!$C$44:$C$49,0),MATCH(BP$5,Escalators!$I$43:$U$43,0))</f>
        <v>0</v>
      </c>
      <c r="BQ8" s="47">
        <f t="shared" si="12"/>
        <v>0</v>
      </c>
      <c r="BR8" s="47">
        <f>INDEX(Direct_Cost_Splits_Network,MATCH($H8,RIN_Asset_Cat_Network,0),MATCH($BW$4,Direct_Cost_Type,0))*$Q8*INDEX(Act_Type_Augex_Splits,MATCH($I8,Act_Type_Augex,0),MATCH(BR$4,Mat_Type,0))*INDEX(Escalators!$I$44:$U$49,MATCH(BR$4,Escalators!$C$44:$C$49,0),MATCH(BR$5,Escalators!$I$43:$U$43,0))</f>
        <v>0</v>
      </c>
      <c r="BS8" s="47">
        <f>INDEX(Direct_Cost_Splits_Network,MATCH($H8,RIN_Asset_Cat_Network,0),MATCH($BW$4,Direct_Cost_Type,0))*$Q8*INDEX(Act_Type_Augex_Splits,MATCH($I8,Act_Type_Augex,0),MATCH(BS$4,Mat_Type,0))*INDEX(Escalators!$I$44:$U$49,MATCH(BS$4,Escalators!$C$44:$C$49,0),MATCH(BS$5,Escalators!$I$43:$U$43,0))</f>
        <v>0</v>
      </c>
      <c r="BT8" s="47">
        <f>INDEX(Direct_Cost_Splits_Network,MATCH($H8,RIN_Asset_Cat_Network,0),MATCH($BW$4,Direct_Cost_Type,0))*$Q8*INDEX(Act_Type_Augex_Splits,MATCH($I8,Act_Type_Augex,0),MATCH(BT$4,Mat_Type,0))*INDEX(Escalators!$I$44:$U$49,MATCH(BT$4,Escalators!$C$44:$C$49,0),MATCH(BT$5,Escalators!$I$43:$U$43,0))</f>
        <v>0</v>
      </c>
      <c r="BU8" s="47">
        <f>INDEX(Direct_Cost_Splits_Network,MATCH($H8,RIN_Asset_Cat_Network,0),MATCH($BW$4,Direct_Cost_Type,0))*$Q8*INDEX(Act_Type_Augex_Splits,MATCH($I8,Act_Type_Augex,0),MATCH(BU$4,Mat_Type,0))*INDEX(Escalators!$I$44:$U$49,MATCH(BU$4,Escalators!$C$44:$C$49,0),MATCH(BU$5,Escalators!$I$43:$U$43,0))</f>
        <v>0</v>
      </c>
      <c r="BV8" s="47">
        <f>INDEX(Direct_Cost_Splits_Network,MATCH($H8,RIN_Asset_Cat_Network,0),MATCH($BW$4,Direct_Cost_Type,0))*$Q8*INDEX(Act_Type_Augex_Splits,MATCH($I8,Act_Type_Augex,0),MATCH(BV$4,Mat_Type,0))*INDEX(Escalators!$I$44:$U$49,MATCH(BV$4,Escalators!$C$44:$C$49,0),MATCH(BV$5,Escalators!$I$43:$U$43,0))</f>
        <v>0</v>
      </c>
      <c r="BW8" s="47">
        <f t="shared" si="13"/>
        <v>0</v>
      </c>
      <c r="BY8" s="47">
        <f>INDEX(Direct_Cost_Splits_Network,MATCH($H8,RIN_Asset_Cat_Network,0),MATCH($BY$4,Direct_Cost_Type,0))*J8*HLOOKUP(BY$5,Escalators!$I$25:$U$30,6,FALSE)</f>
        <v>0</v>
      </c>
      <c r="BZ8" s="47">
        <f>INDEX(Direct_Cost_Splits_Network,MATCH($H8,RIN_Asset_Cat_Network,0),MATCH($BY$4,Direct_Cost_Type,0))*K8*HLOOKUP(BZ$5,Escalators!$I$25:$U$30,6,FALSE)</f>
        <v>0</v>
      </c>
      <c r="CA8" s="47">
        <f>INDEX(Direct_Cost_Splits_Network,MATCH($H8,RIN_Asset_Cat_Network,0),MATCH($BY$4,Direct_Cost_Type,0))*L8*HLOOKUP(CA$5,Escalators!$I$25:$U$30,6,FALSE)</f>
        <v>0</v>
      </c>
      <c r="CB8" s="47">
        <f>INDEX(Direct_Cost_Splits_Network,MATCH($H8,RIN_Asset_Cat_Network,0),MATCH($BY$4,Direct_Cost_Type,0))*M8*HLOOKUP(CB$5,Escalators!$I$25:$U$30,6,FALSE)</f>
        <v>65.189172257226417</v>
      </c>
      <c r="CC8" s="47">
        <f>INDEX(Direct_Cost_Splits_Network,MATCH($H8,RIN_Asset_Cat_Network,0),MATCH($BY$4,Direct_Cost_Type,0))*N8*HLOOKUP(CC$5,Escalators!$I$25:$U$30,6,FALSE)</f>
        <v>54.881686451376481</v>
      </c>
      <c r="CD8" s="47">
        <f>INDEX(Direct_Cost_Splits_Network,MATCH($H8,RIN_Asset_Cat_Network,0),MATCH($BY$4,Direct_Cost_Type,0))*O8*HLOOKUP(CD$5,Escalators!$I$25:$U$30,6,FALSE)</f>
        <v>0</v>
      </c>
      <c r="CE8" s="47">
        <f>INDEX(Direct_Cost_Splits_Network,MATCH($H8,RIN_Asset_Cat_Network,0),MATCH($BY$4,Direct_Cost_Type,0))*P8*HLOOKUP(CE$5,Escalators!$I$25:$U$30,6,FALSE)</f>
        <v>0</v>
      </c>
      <c r="CF8" s="47">
        <f>INDEX(Direct_Cost_Splits_Network,MATCH($H8,RIN_Asset_Cat_Network,0),MATCH($BY$4,Direct_Cost_Type,0))*Q8*HLOOKUP(CF$5,Escalators!$I$25:$U$30,6,FALSE)</f>
        <v>0</v>
      </c>
      <c r="CH8" s="47">
        <f t="shared" si="14"/>
        <v>0</v>
      </c>
      <c r="CI8" s="47">
        <f t="shared" si="14"/>
        <v>0</v>
      </c>
      <c r="CJ8" s="47">
        <f t="shared" si="14"/>
        <v>0</v>
      </c>
      <c r="CK8" s="47">
        <f t="shared" si="14"/>
        <v>17.337419958837021</v>
      </c>
      <c r="CL8" s="47">
        <f t="shared" si="14"/>
        <v>14.447849965697518</v>
      </c>
      <c r="CM8" s="47">
        <f t="shared" si="14"/>
        <v>0</v>
      </c>
      <c r="CN8" s="47">
        <f t="shared" si="14"/>
        <v>0</v>
      </c>
      <c r="CO8" s="47">
        <f t="shared" si="14"/>
        <v>0</v>
      </c>
      <c r="CQ8" s="373">
        <f t="shared" si="15"/>
        <v>0</v>
      </c>
      <c r="CR8" s="47">
        <f t="shared" si="16"/>
        <v>0</v>
      </c>
      <c r="CS8" s="47">
        <f t="shared" si="17"/>
        <v>0</v>
      </c>
      <c r="CT8" s="47">
        <f t="shared" si="18"/>
        <v>152.85053346274742</v>
      </c>
      <c r="CU8" s="47">
        <f t="shared" si="19"/>
        <v>128.13803323954269</v>
      </c>
      <c r="CV8" s="47">
        <f t="shared" si="20"/>
        <v>0</v>
      </c>
      <c r="CW8" s="47">
        <f t="shared" si="21"/>
        <v>0</v>
      </c>
      <c r="CX8" s="47">
        <f t="shared" si="22"/>
        <v>0</v>
      </c>
      <c r="CZ8" s="39"/>
      <c r="DA8" s="39"/>
      <c r="DB8" s="39"/>
      <c r="DC8" s="39"/>
      <c r="DD8" s="39"/>
      <c r="DE8" s="39"/>
    </row>
    <row r="9" spans="1:109" x14ac:dyDescent="0.3">
      <c r="B9" s="7" t="s">
        <v>427</v>
      </c>
      <c r="C9" s="7" t="s">
        <v>417</v>
      </c>
      <c r="D9" s="7"/>
      <c r="E9" s="7" t="s">
        <v>45</v>
      </c>
      <c r="F9" s="7" t="s">
        <v>51</v>
      </c>
      <c r="G9" s="7" t="s">
        <v>10</v>
      </c>
      <c r="H9" s="7" t="s">
        <v>164</v>
      </c>
      <c r="I9" s="7" t="s">
        <v>214</v>
      </c>
      <c r="J9" s="45"/>
      <c r="K9" s="45"/>
      <c r="L9" s="45"/>
      <c r="M9" s="45">
        <v>1838.5</v>
      </c>
      <c r="N9" s="45">
        <v>3102.7</v>
      </c>
      <c r="O9" s="45">
        <v>2510.5</v>
      </c>
      <c r="P9" s="45">
        <v>1135.5</v>
      </c>
      <c r="Q9" s="45">
        <v>1106</v>
      </c>
      <c r="S9" s="47">
        <f>INDEX(Direct_Cost_Splits_Network,MATCH($H9,RIN_Asset_Cat_Network,0),MATCH($S$4,Direct_Cost_Type,0))*J9*HLOOKUP(S$5,Escalators!$I$25:$U$30,3,FALSE)</f>
        <v>0</v>
      </c>
      <c r="T9" s="47">
        <f>INDEX(Direct_Cost_Splits_Network,MATCH($H9,RIN_Asset_Cat_Network,0),MATCH($S$4,Direct_Cost_Type,0))*K9*HLOOKUP(T$5,Escalators!$I$25:$U$30,3,FALSE)</f>
        <v>0</v>
      </c>
      <c r="U9" s="47">
        <f>INDEX(Direct_Cost_Splits_Network,MATCH($H9,RIN_Asset_Cat_Network,0),MATCH($S$4,Direct_Cost_Type,0))*L9*HLOOKUP(U$5,Escalators!$I$25:$U$30,3,FALSE)</f>
        <v>0</v>
      </c>
      <c r="V9" s="47">
        <f>INDEX(Direct_Cost_Splits_Network,MATCH($H9,RIN_Asset_Cat_Network,0),MATCH($S$4,Direct_Cost_Type,0))*M9*HLOOKUP(V$5,Escalators!$I$25:$U$30,3,FALSE)</f>
        <v>294.17319569755307</v>
      </c>
      <c r="W9" s="47">
        <f>INDEX(Direct_Cost_Splits_Network,MATCH($H9,RIN_Asset_Cat_Network,0),MATCH($S$4,Direct_Cost_Type,0))*N9*HLOOKUP(W$5,Escalators!$I$25:$U$30,3,FALSE)</f>
        <v>501.54797075408032</v>
      </c>
      <c r="X9" s="47">
        <f>INDEX(Direct_Cost_Splits_Network,MATCH($H9,RIN_Asset_Cat_Network,0),MATCH($S$4,Direct_Cost_Type,0))*O9*HLOOKUP(X$5,Escalators!$I$25:$U$30,3,FALSE)</f>
        <v>410.1877002469613</v>
      </c>
      <c r="Y9" s="47">
        <f>INDEX(Direct_Cost_Splits_Network,MATCH($H9,RIN_Asset_Cat_Network,0),MATCH($S$4,Direct_Cost_Type,0))*P9*HLOOKUP(Y$5,Escalators!$I$25:$U$30,3,FALSE)</f>
        <v>187.28225137749038</v>
      </c>
      <c r="Z9" s="47">
        <f>INDEX(Direct_Cost_Splits_Network,MATCH($H9,RIN_Asset_Cat_Network,0),MATCH($S$4,Direct_Cost_Type,0))*Q9*HLOOKUP(Z$5,Escalators!$I$25:$U$30,3,FALSE)</f>
        <v>184.02197333307896</v>
      </c>
      <c r="AB9" s="6">
        <f>INDEX(Direct_Cost_Splits_Network,MATCH($H9,RIN_Asset_Cat_Network,0),MATCH($AG$4,Direct_Cost_Type,0))*$J9*INDEX(Act_Type_Augex_Splits,MATCH($I9,Act_Type_Augex,0),MATCH(AB$4,Mat_Type,0))*INDEX(Escalators!$I$44:$U$49,MATCH(AB$4,Escalators!$C$44:$C$49,0),MATCH(AB$5,Escalators!$I$43:$U$43,0))</f>
        <v>0</v>
      </c>
      <c r="AC9" s="6">
        <f>INDEX(Direct_Cost_Splits_Network,MATCH($H9,RIN_Asset_Cat_Network,0),MATCH($AG$4,Direct_Cost_Type,0))*$J9*INDEX(Act_Type_Augex_Splits,MATCH($I9,Act_Type_Augex,0),MATCH(AC$4,Mat_Type,0))*INDEX(Escalators!$I$44:$U$49,MATCH(AC$4,Escalators!$C$44:$C$49,0),MATCH(AC$5,Escalators!$I$43:$U$43,0))</f>
        <v>0</v>
      </c>
      <c r="AD9" s="6">
        <f>INDEX(Direct_Cost_Splits_Network,MATCH($H9,RIN_Asset_Cat_Network,0),MATCH($AG$4,Direct_Cost_Type,0))*$J9*INDEX(Act_Type_Augex_Splits,MATCH($I9,Act_Type_Augex,0),MATCH(AD$4,Mat_Type,0))*INDEX(Escalators!$I$44:$U$49,MATCH(AD$4,Escalators!$C$44:$C$49,0),MATCH(AD$5,Escalators!$I$43:$U$43,0))</f>
        <v>0</v>
      </c>
      <c r="AE9" s="6">
        <f>INDEX(Direct_Cost_Splits_Network,MATCH($H9,RIN_Asset_Cat_Network,0),MATCH($AG$4,Direct_Cost_Type,0))*$J9*INDEX(Act_Type_Augex_Splits,MATCH($I9,Act_Type_Augex,0),MATCH(AE$4,Mat_Type,0))*INDEX(Escalators!$I$44:$U$49,MATCH(AE$4,Escalators!$C$44:$C$49,0),MATCH(AE$5,Escalators!$I$43:$U$43,0))</f>
        <v>0</v>
      </c>
      <c r="AF9" s="6">
        <f>INDEX(Direct_Cost_Splits_Network,MATCH($H9,RIN_Asset_Cat_Network,0),MATCH($AG$4,Direct_Cost_Type,0))*$J9*INDEX(Act_Type_Augex_Splits,MATCH($I9,Act_Type_Augex,0),MATCH(AF$4,Mat_Type,0))*INDEX(Escalators!$I$44:$U$49,MATCH(AF$4,Escalators!$C$44:$C$49,0),MATCH(AF$5,Escalators!$I$43:$U$43,0))</f>
        <v>0</v>
      </c>
      <c r="AG9" s="47">
        <f t="shared" si="23"/>
        <v>0</v>
      </c>
      <c r="AH9" s="47">
        <f>INDEX(Direct_Cost_Splits_Network,MATCH($H9,RIN_Asset_Cat_Network,0),MATCH($AY$4,Direct_Cost_Type,0))*$K9*INDEX(Act_Type_Augex_Splits,MATCH($I9,Act_Type_Augex,0),MATCH(AH$4,Mat_Type,0))*INDEX(Escalators!$I$44:$U$49,MATCH(AH$4,Escalators!$C$44:$C$49,0),MATCH(AH$5,Escalators!$I$43:$U$43,0))</f>
        <v>0</v>
      </c>
      <c r="AI9" s="47">
        <f>INDEX(Direct_Cost_Splits_Network,MATCH($H9,RIN_Asset_Cat_Network,0),MATCH($AY$4,Direct_Cost_Type,0))*$K9*INDEX(Act_Type_Augex_Splits,MATCH($I9,Act_Type_Augex,0),MATCH(AI$4,Mat_Type,0))*INDEX(Escalators!$I$44:$U$49,MATCH(AI$4,Escalators!$C$44:$C$49,0),MATCH(AI$5,Escalators!$I$43:$U$43,0))</f>
        <v>0</v>
      </c>
      <c r="AJ9" s="47">
        <f>INDEX(Direct_Cost_Splits_Network,MATCH($H9,RIN_Asset_Cat_Network,0),MATCH($AY$4,Direct_Cost_Type,0))*$K9*INDEX(Act_Type_Augex_Splits,MATCH($I9,Act_Type_Augex,0),MATCH(AJ$4,Mat_Type,0))*INDEX(Escalators!$I$44:$U$49,MATCH(AJ$4,Escalators!$C$44:$C$49,0),MATCH(AJ$5,Escalators!$I$43:$U$43,0))</f>
        <v>0</v>
      </c>
      <c r="AK9" s="47">
        <f>INDEX(Direct_Cost_Splits_Network,MATCH($H9,RIN_Asset_Cat_Network,0),MATCH($AY$4,Direct_Cost_Type,0))*$K9*INDEX(Act_Type_Augex_Splits,MATCH($I9,Act_Type_Augex,0),MATCH(AK$4,Mat_Type,0))*INDEX(Escalators!$I$44:$U$49,MATCH(AK$4,Escalators!$C$44:$C$49,0),MATCH(AK$5,Escalators!$I$43:$U$43,0))</f>
        <v>0</v>
      </c>
      <c r="AL9" s="47">
        <f>INDEX(Direct_Cost_Splits_Network,MATCH($H9,RIN_Asset_Cat_Network,0),MATCH($AY$4,Direct_Cost_Type,0))*$K9*INDEX(Act_Type_Augex_Splits,MATCH($I9,Act_Type_Augex,0),MATCH(AL$4,Mat_Type,0))*INDEX(Escalators!$I$44:$U$49,MATCH(AL$4,Escalators!$C$44:$C$49,0),MATCH(AL$5,Escalators!$I$43:$U$43,0))</f>
        <v>0</v>
      </c>
      <c r="AM9" s="47">
        <f t="shared" si="24"/>
        <v>0</v>
      </c>
      <c r="AN9" s="47">
        <f>INDEX(Direct_Cost_Splits_Network,MATCH($H9,RIN_Asset_Cat_Network,0),MATCH($AY$4,Direct_Cost_Type,0))*$L9*INDEX(Act_Type_Augex_Splits,MATCH($I9,Act_Type_Augex,0),MATCH(AN$4,Mat_Type,0))*INDEX(Escalators!$I$44:$U$49,MATCH(AN$4,Escalators!$C$44:$C$49,0),MATCH(AN$5,Escalators!$I$43:$U$43,0))</f>
        <v>0</v>
      </c>
      <c r="AO9" s="47">
        <f>INDEX(Direct_Cost_Splits_Network,MATCH($H9,RIN_Asset_Cat_Network,0),MATCH($AY$4,Direct_Cost_Type,0))*$L9*INDEX(Act_Type_Augex_Splits,MATCH($I9,Act_Type_Augex,0),MATCH(AO$4,Mat_Type,0))*INDEX(Escalators!$I$44:$U$49,MATCH(AO$4,Escalators!$C$44:$C$49,0),MATCH(AO$5,Escalators!$I$43:$U$43,0))</f>
        <v>0</v>
      </c>
      <c r="AP9" s="47">
        <f>INDEX(Direct_Cost_Splits_Network,MATCH($H9,RIN_Asset_Cat_Network,0),MATCH($AY$4,Direct_Cost_Type,0))*$L9*INDEX(Act_Type_Augex_Splits,MATCH($I9,Act_Type_Augex,0),MATCH(AP$4,Mat_Type,0))*INDEX(Escalators!$I$44:$U$49,MATCH(AP$4,Escalators!$C$44:$C$49,0),MATCH(AP$5,Escalators!$I$43:$U$43,0))</f>
        <v>0</v>
      </c>
      <c r="AQ9" s="47">
        <f>INDEX(Direct_Cost_Splits_Network,MATCH($H9,RIN_Asset_Cat_Network,0),MATCH($AY$4,Direct_Cost_Type,0))*$L9*INDEX(Act_Type_Augex_Splits,MATCH($I9,Act_Type_Augex,0),MATCH(AQ$4,Mat_Type,0))*INDEX(Escalators!$I$44:$U$49,MATCH(AQ$4,Escalators!$C$44:$C$49,0),MATCH(AQ$5,Escalators!$I$43:$U$43,0))</f>
        <v>0</v>
      </c>
      <c r="AR9" s="47">
        <f>INDEX(Direct_Cost_Splits_Network,MATCH($H9,RIN_Asset_Cat_Network,0),MATCH($AY$4,Direct_Cost_Type,0))*$L9*INDEX(Act_Type_Augex_Splits,MATCH($I9,Act_Type_Augex,0),MATCH(AR$4,Mat_Type,0))*INDEX(Escalators!$I$44:$U$49,MATCH(AR$4,Escalators!$C$44:$C$49,0),MATCH(AR$5,Escalators!$I$43:$U$43,0))</f>
        <v>0</v>
      </c>
      <c r="AS9" s="47">
        <f t="shared" si="8"/>
        <v>0</v>
      </c>
      <c r="AT9" s="47">
        <f>INDEX(Direct_Cost_Splits_Network,MATCH($H9,RIN_Asset_Cat_Network,0),MATCH($AY$4,Direct_Cost_Type,0))*$M9*INDEX(Act_Type_Augex_Splits,MATCH($I9,Act_Type_Augex,0),MATCH(AT$4,Mat_Type,0))*INDEX(Escalators!$I$44:$U$49,MATCH(AT$4,Escalators!$C$44:$C$49,0),MATCH(AT$5,Escalators!$I$43:$U$43,0))</f>
        <v>380.40182026903341</v>
      </c>
      <c r="AU9" s="47">
        <f>INDEX(Direct_Cost_Splits_Network,MATCH($H9,RIN_Asset_Cat_Network,0),MATCH($AY$4,Direct_Cost_Type,0))*$M9*INDEX(Act_Type_Augex_Splits,MATCH($I9,Act_Type_Augex,0),MATCH(AU$4,Mat_Type,0))*INDEX(Escalators!$I$44:$U$49,MATCH(AU$4,Escalators!$C$44:$C$49,0),MATCH(AU$5,Escalators!$I$43:$U$43,0))</f>
        <v>0</v>
      </c>
      <c r="AV9" s="47">
        <f>INDEX(Direct_Cost_Splits_Network,MATCH($H9,RIN_Asset_Cat_Network,0),MATCH($AY$4,Direct_Cost_Type,0))*$M9*INDEX(Act_Type_Augex_Splits,MATCH($I9,Act_Type_Augex,0),MATCH(AV$4,Mat_Type,0))*INDEX(Escalators!$I$44:$U$49,MATCH(AV$4,Escalators!$C$44:$C$49,0),MATCH(AV$5,Escalators!$I$43:$U$43,0))</f>
        <v>73.809308410409471</v>
      </c>
      <c r="AW9" s="47">
        <f>INDEX(Direct_Cost_Splits_Network,MATCH($H9,RIN_Asset_Cat_Network,0),MATCH($AY$4,Direct_Cost_Type,0))*$M9*INDEX(Act_Type_Augex_Splits,MATCH($I9,Act_Type_Augex,0),MATCH(AW$4,Mat_Type,0))*INDEX(Escalators!$I$44:$U$49,MATCH(AW$4,Escalators!$C$44:$C$49,0),MATCH(AW$5,Escalators!$I$43:$U$43,0))</f>
        <v>0</v>
      </c>
      <c r="AX9" s="47">
        <f>INDEX(Direct_Cost_Splits_Network,MATCH($H9,RIN_Asset_Cat_Network,0),MATCH($AY$4,Direct_Cost_Type,0))*$M9*INDEX(Act_Type_Augex_Splits,MATCH($I9,Act_Type_Augex,0),MATCH(AX$4,Mat_Type,0))*INDEX(Escalators!$I$44:$U$49,MATCH(AX$4,Escalators!$C$44:$C$49,0),MATCH(AX$5,Escalators!$I$43:$U$43,0))</f>
        <v>113.55278216986072</v>
      </c>
      <c r="AY9" s="47">
        <f t="shared" si="9"/>
        <v>567.76391084930356</v>
      </c>
      <c r="AZ9" s="47">
        <f>INDEX(Direct_Cost_Splits_Network,MATCH($H9,RIN_Asset_Cat_Network,0),MATCH($BE$4,Direct_Cost_Type,0))*$N9*INDEX(Act_Type_Augex_Splits,MATCH($I9,Act_Type_Augex,0),MATCH(AZ$4,Mat_Type,0))*INDEX(Escalators!$I$44:$U$49,MATCH(AZ$4,Escalators!$C$44:$C$49,0),MATCH(AZ$5,Escalators!$I$43:$U$43,0))</f>
        <v>641.97591936292088</v>
      </c>
      <c r="BA9" s="47">
        <f>INDEX(Direct_Cost_Splits_Network,MATCH($H9,RIN_Asset_Cat_Network,0),MATCH($BE$4,Direct_Cost_Type,0))*$N9*INDEX(Act_Type_Augex_Splits,MATCH($I9,Act_Type_Augex,0),MATCH(BA$4,Mat_Type,0))*INDEX(Escalators!$I$44:$U$49,MATCH(BA$4,Escalators!$C$44:$C$49,0),MATCH(BA$5,Escalators!$I$43:$U$43,0))</f>
        <v>0</v>
      </c>
      <c r="BB9" s="47">
        <f>INDEX(Direct_Cost_Splits_Network,MATCH($H9,RIN_Asset_Cat_Network,0),MATCH($BE$4,Direct_Cost_Type,0))*$N9*INDEX(Act_Type_Augex_Splits,MATCH($I9,Act_Type_Augex,0),MATCH(BB$4,Mat_Type,0))*INDEX(Escalators!$I$44:$U$49,MATCH(BB$4,Escalators!$C$44:$C$49,0),MATCH(BB$5,Escalators!$I$43:$U$43,0))</f>
        <v>124.56249181668613</v>
      </c>
      <c r="BC9" s="47">
        <f>INDEX(Direct_Cost_Splits_Network,MATCH($H9,RIN_Asset_Cat_Network,0),MATCH($BE$4,Direct_Cost_Type,0))*$N9*INDEX(Act_Type_Augex_Splits,MATCH($I9,Act_Type_Augex,0),MATCH(BC$4,Mat_Type,0))*INDEX(Escalators!$I$44:$U$49,MATCH(BC$4,Escalators!$C$44:$C$49,0),MATCH(BC$5,Escalators!$I$43:$U$43,0))</f>
        <v>0</v>
      </c>
      <c r="BD9" s="47">
        <f>INDEX(Direct_Cost_Splits_Network,MATCH($H9,RIN_Asset_Cat_Network,0),MATCH($BE$4,Direct_Cost_Type,0))*$N9*INDEX(Act_Type_Augex_Splits,MATCH($I9,Act_Type_Augex,0),MATCH(BD$4,Mat_Type,0))*INDEX(Escalators!$I$44:$U$49,MATCH(BD$4,Escalators!$C$44:$C$49,0),MATCH(BD$5,Escalators!$I$43:$U$43,0))</f>
        <v>191.63460279490175</v>
      </c>
      <c r="BE9" s="47">
        <f t="shared" si="10"/>
        <v>958.17301397450876</v>
      </c>
      <c r="BF9" s="47">
        <f>INDEX(Direct_Cost_Splits_Network,MATCH($H9,RIN_Asset_Cat_Network,0),MATCH($BK$4,Direct_Cost_Type,0))*$O9*INDEX(Act_Type_Augex_Splits,MATCH($I9,Act_Type_Augex,0),MATCH(BF$4,Mat_Type,0))*INDEX(Escalators!$I$44:$U$49,MATCH(BF$4,Escalators!$C$44:$C$49,0),MATCH(BF$5,Escalators!$I$43:$U$43,0))</f>
        <v>519.44453075083413</v>
      </c>
      <c r="BG9" s="47">
        <f>INDEX(Direct_Cost_Splits_Network,MATCH($H9,RIN_Asset_Cat_Network,0),MATCH($BK$4,Direct_Cost_Type,0))*$O9*INDEX(Act_Type_Augex_Splits,MATCH($I9,Act_Type_Augex,0),MATCH(BG$4,Mat_Type,0))*INDEX(Escalators!$I$44:$U$49,MATCH(BG$4,Escalators!$C$44:$C$49,0),MATCH(BG$5,Escalators!$I$43:$U$43,0))</f>
        <v>0</v>
      </c>
      <c r="BH9" s="47">
        <f>INDEX(Direct_Cost_Splits_Network,MATCH($H9,RIN_Asset_Cat_Network,0),MATCH($BK$4,Direct_Cost_Type,0))*$O9*INDEX(Act_Type_Augex_Splits,MATCH($I9,Act_Type_Augex,0),MATCH(BH$4,Mat_Type,0))*INDEX(Escalators!$I$44:$U$49,MATCH(BH$4,Escalators!$C$44:$C$49,0),MATCH(BH$5,Escalators!$I$43:$U$43,0))</f>
        <v>100.7877447725499</v>
      </c>
      <c r="BI9" s="47">
        <f>INDEX(Direct_Cost_Splits_Network,MATCH($H9,RIN_Asset_Cat_Network,0),MATCH($BK$4,Direct_Cost_Type,0))*$O9*INDEX(Act_Type_Augex_Splits,MATCH($I9,Act_Type_Augex,0),MATCH(BI$4,Mat_Type,0))*INDEX(Escalators!$I$44:$U$49,MATCH(BI$4,Escalators!$C$44:$C$49,0),MATCH(BI$5,Escalators!$I$43:$U$43,0))</f>
        <v>0</v>
      </c>
      <c r="BJ9" s="47">
        <f>INDEX(Direct_Cost_Splits_Network,MATCH($H9,RIN_Asset_Cat_Network,0),MATCH($BK$4,Direct_Cost_Type,0))*$O9*INDEX(Act_Type_Augex_Splits,MATCH($I9,Act_Type_Augex,0),MATCH(BJ$4,Mat_Type,0))*INDEX(Escalators!$I$44:$U$49,MATCH(BJ$4,Escalators!$C$44:$C$49,0),MATCH(BJ$5,Escalators!$I$43:$U$43,0))</f>
        <v>155.05806888084601</v>
      </c>
      <c r="BK9" s="47">
        <f t="shared" si="11"/>
        <v>775.29034440423004</v>
      </c>
      <c r="BL9" s="47">
        <f>INDEX(Direct_Cost_Splits_Network,MATCH($H9,RIN_Asset_Cat_Network,0),MATCH($BQ$4,Direct_Cost_Type,0))*$P9*INDEX(Act_Type_Augex_Splits,MATCH($I9,Act_Type_Augex,0),MATCH(BL$4,Mat_Type,0))*INDEX(Escalators!$I$44:$U$49,MATCH(BL$4,Escalators!$C$44:$C$49,0),MATCH(BL$5,Escalators!$I$43:$U$43,0))</f>
        <v>234.94493713107832</v>
      </c>
      <c r="BM9" s="47">
        <f>INDEX(Direct_Cost_Splits_Network,MATCH($H9,RIN_Asset_Cat_Network,0),MATCH($BQ$4,Direct_Cost_Type,0))*$P9*INDEX(Act_Type_Augex_Splits,MATCH($I9,Act_Type_Augex,0),MATCH(BM$4,Mat_Type,0))*INDEX(Escalators!$I$44:$U$49,MATCH(BM$4,Escalators!$C$44:$C$49,0),MATCH(BM$5,Escalators!$I$43:$U$43,0))</f>
        <v>0</v>
      </c>
      <c r="BN9" s="47">
        <f>INDEX(Direct_Cost_Splits_Network,MATCH($H9,RIN_Asset_Cat_Network,0),MATCH($BQ$4,Direct_Cost_Type,0))*$P9*INDEX(Act_Type_Augex_Splits,MATCH($I9,Act_Type_Augex,0),MATCH(BN$4,Mat_Type,0))*INDEX(Escalators!$I$44:$U$49,MATCH(BN$4,Escalators!$C$44:$C$49,0),MATCH(BN$5,Escalators!$I$43:$U$43,0))</f>
        <v>45.586331085134596</v>
      </c>
      <c r="BO9" s="47">
        <f>INDEX(Direct_Cost_Splits_Network,MATCH($H9,RIN_Asset_Cat_Network,0),MATCH($BQ$4,Direct_Cost_Type,0))*$P9*INDEX(Act_Type_Augex_Splits,MATCH($I9,Act_Type_Augex,0),MATCH(BO$4,Mat_Type,0))*INDEX(Escalators!$I$44:$U$49,MATCH(BO$4,Escalators!$C$44:$C$49,0),MATCH(BO$5,Escalators!$I$43:$U$43,0))</f>
        <v>0</v>
      </c>
      <c r="BP9" s="47">
        <f>INDEX(Direct_Cost_Splits_Network,MATCH($H9,RIN_Asset_Cat_Network,0),MATCH($BQ$4,Direct_Cost_Type,0))*$P9*INDEX(Act_Type_Augex_Splits,MATCH($I9,Act_Type_Augex,0),MATCH(BP$4,Mat_Type,0))*INDEX(Escalators!$I$44:$U$49,MATCH(BP$4,Escalators!$C$44:$C$49,0),MATCH(BP$5,Escalators!$I$43:$U$43,0))</f>
        <v>70.132817054053234</v>
      </c>
      <c r="BQ9" s="47">
        <f t="shared" si="12"/>
        <v>350.66408527026618</v>
      </c>
      <c r="BR9" s="47">
        <f>INDEX(Direct_Cost_Splits_Network,MATCH($H9,RIN_Asset_Cat_Network,0),MATCH($BW$4,Direct_Cost_Type,0))*$Q9*INDEX(Act_Type_Augex_Splits,MATCH($I9,Act_Type_Augex,0),MATCH(BR$4,Mat_Type,0))*INDEX(Escalators!$I$44:$U$49,MATCH(BR$4,Escalators!$C$44:$C$49,0),MATCH(BR$5,Escalators!$I$43:$U$43,0))</f>
        <v>228.84112766796355</v>
      </c>
      <c r="BS9" s="47">
        <f>INDEX(Direct_Cost_Splits_Network,MATCH($H9,RIN_Asset_Cat_Network,0),MATCH($BW$4,Direct_Cost_Type,0))*$Q9*INDEX(Act_Type_Augex_Splits,MATCH($I9,Act_Type_Augex,0),MATCH(BS$4,Mat_Type,0))*INDEX(Escalators!$I$44:$U$49,MATCH(BS$4,Escalators!$C$44:$C$49,0),MATCH(BS$5,Escalators!$I$43:$U$43,0))</f>
        <v>0</v>
      </c>
      <c r="BT9" s="47">
        <f>INDEX(Direct_Cost_Splits_Network,MATCH($H9,RIN_Asset_Cat_Network,0),MATCH($BW$4,Direct_Cost_Type,0))*$Q9*INDEX(Act_Type_Augex_Splits,MATCH($I9,Act_Type_Augex,0),MATCH(BT$4,Mat_Type,0))*INDEX(Escalators!$I$44:$U$49,MATCH(BT$4,Escalators!$C$44:$C$49,0),MATCH(BT$5,Escalators!$I$43:$U$43,0))</f>
        <v>44.402009846022779</v>
      </c>
      <c r="BU9" s="47">
        <f>INDEX(Direct_Cost_Splits_Network,MATCH($H9,RIN_Asset_Cat_Network,0),MATCH($BW$4,Direct_Cost_Type,0))*$Q9*INDEX(Act_Type_Augex_Splits,MATCH($I9,Act_Type_Augex,0),MATCH(BU$4,Mat_Type,0))*INDEX(Escalators!$I$44:$U$49,MATCH(BU$4,Escalators!$C$44:$C$49,0),MATCH(BU$5,Escalators!$I$43:$U$43,0))</f>
        <v>0</v>
      </c>
      <c r="BV9" s="47">
        <f>INDEX(Direct_Cost_Splits_Network,MATCH($H9,RIN_Asset_Cat_Network,0),MATCH($BW$4,Direct_Cost_Type,0))*$Q9*INDEX(Act_Type_Augex_Splits,MATCH($I9,Act_Type_Augex,0),MATCH(BV$4,Mat_Type,0))*INDEX(Escalators!$I$44:$U$49,MATCH(BV$4,Escalators!$C$44:$C$49,0),MATCH(BV$5,Escalators!$I$43:$U$43,0))</f>
        <v>68.310784378496578</v>
      </c>
      <c r="BW9" s="47">
        <f t="shared" si="13"/>
        <v>341.55392189248289</v>
      </c>
      <c r="BY9" s="47">
        <f>INDEX(Direct_Cost_Splits_Network,MATCH($H9,RIN_Asset_Cat_Network,0),MATCH($BY$4,Direct_Cost_Type,0))*J9*HLOOKUP(BY$5,Escalators!$I$25:$U$30,6,FALSE)</f>
        <v>0</v>
      </c>
      <c r="BZ9" s="47">
        <f>INDEX(Direct_Cost_Splits_Network,MATCH($H9,RIN_Asset_Cat_Network,0),MATCH($BY$4,Direct_Cost_Type,0))*K9*HLOOKUP(BZ$5,Escalators!$I$25:$U$30,6,FALSE)</f>
        <v>0</v>
      </c>
      <c r="CA9" s="47">
        <f>INDEX(Direct_Cost_Splits_Network,MATCH($H9,RIN_Asset_Cat_Network,0),MATCH($BY$4,Direct_Cost_Type,0))*L9*HLOOKUP(CA$5,Escalators!$I$25:$U$30,6,FALSE)</f>
        <v>0</v>
      </c>
      <c r="CB9" s="47">
        <f>INDEX(Direct_Cost_Splits_Network,MATCH($H9,RIN_Asset_Cat_Network,0),MATCH($BY$4,Direct_Cost_Type,0))*M9*HLOOKUP(CB$5,Escalators!$I$25:$U$30,6,FALSE)</f>
        <v>799.0019546327386</v>
      </c>
      <c r="CC9" s="47">
        <f>INDEX(Direct_Cost_Splits_Network,MATCH($H9,RIN_Asset_Cat_Network,0),MATCH($BY$4,Direct_Cost_Type,0))*N9*HLOOKUP(CC$5,Escalators!$I$25:$U$30,6,FALSE)</f>
        <v>1362.2512684214862</v>
      </c>
      <c r="CD9" s="47">
        <f>INDEX(Direct_Cost_Splits_Network,MATCH($H9,RIN_Asset_Cat_Network,0),MATCH($BY$4,Direct_Cost_Type,0))*O9*HLOOKUP(CD$5,Escalators!$I$25:$U$30,6,FALSE)</f>
        <v>1114.1082160340284</v>
      </c>
      <c r="CE9" s="47">
        <f>INDEX(Direct_Cost_Splits_Network,MATCH($H9,RIN_Asset_Cat_Network,0),MATCH($BY$4,Direct_Cost_Type,0))*P9*HLOOKUP(CE$5,Escalators!$I$25:$U$30,6,FALSE)</f>
        <v>508.67613741560001</v>
      </c>
      <c r="CF9" s="47">
        <f>INDEX(Direct_Cost_Splits_Network,MATCH($H9,RIN_Asset_Cat_Network,0),MATCH($BY$4,Direct_Cost_Type,0))*Q9*HLOOKUP(CF$5,Escalators!$I$25:$U$30,6,FALSE)</f>
        <v>499.82091685767693</v>
      </c>
      <c r="CH9" s="47">
        <f t="shared" si="14"/>
        <v>0</v>
      </c>
      <c r="CI9" s="47">
        <f t="shared" si="14"/>
        <v>0</v>
      </c>
      <c r="CJ9" s="47">
        <f t="shared" si="14"/>
        <v>0</v>
      </c>
      <c r="CK9" s="47">
        <f t="shared" si="14"/>
        <v>212.49897729547911</v>
      </c>
      <c r="CL9" s="47">
        <f t="shared" si="14"/>
        <v>358.61875270855751</v>
      </c>
      <c r="CM9" s="47">
        <f t="shared" si="14"/>
        <v>290.17061871106898</v>
      </c>
      <c r="CN9" s="47">
        <f t="shared" si="14"/>
        <v>131.24426908839627</v>
      </c>
      <c r="CO9" s="47">
        <f t="shared" si="14"/>
        <v>127.83457649649165</v>
      </c>
      <c r="CQ9" s="373">
        <f t="shared" si="15"/>
        <v>0</v>
      </c>
      <c r="CR9" s="47">
        <f t="shared" si="16"/>
        <v>0</v>
      </c>
      <c r="CS9" s="47">
        <f t="shared" si="17"/>
        <v>0</v>
      </c>
      <c r="CT9" s="47">
        <f t="shared" si="18"/>
        <v>1873.4380384750743</v>
      </c>
      <c r="CU9" s="47">
        <f t="shared" si="19"/>
        <v>3180.5910058586328</v>
      </c>
      <c r="CV9" s="47">
        <f t="shared" si="20"/>
        <v>2589.7568793962887</v>
      </c>
      <c r="CW9" s="47">
        <f t="shared" si="21"/>
        <v>1177.8667431517529</v>
      </c>
      <c r="CX9" s="47">
        <f t="shared" si="22"/>
        <v>1153.2313885797303</v>
      </c>
      <c r="CZ9" s="39"/>
      <c r="DA9" s="39"/>
      <c r="DB9" s="39"/>
      <c r="DC9" s="39"/>
      <c r="DD9" s="39"/>
      <c r="DE9" s="39"/>
    </row>
    <row r="10" spans="1:109" x14ac:dyDescent="0.3">
      <c r="B10" s="7" t="s">
        <v>427</v>
      </c>
      <c r="C10" s="7" t="s">
        <v>566</v>
      </c>
      <c r="D10" s="7"/>
      <c r="E10" s="7" t="s">
        <v>45</v>
      </c>
      <c r="F10" s="7" t="s">
        <v>51</v>
      </c>
      <c r="G10" s="7" t="s">
        <v>10</v>
      </c>
      <c r="H10" s="7" t="s">
        <v>164</v>
      </c>
      <c r="I10" s="7" t="s">
        <v>214</v>
      </c>
      <c r="J10" s="45"/>
      <c r="K10" s="45"/>
      <c r="L10" s="45"/>
      <c r="M10" s="45">
        <v>750</v>
      </c>
      <c r="N10" s="45">
        <v>250</v>
      </c>
      <c r="O10" s="45">
        <v>0</v>
      </c>
      <c r="P10" s="45">
        <v>0</v>
      </c>
      <c r="Q10" s="45">
        <v>0</v>
      </c>
      <c r="S10" s="47">
        <f>INDEX(Direct_Cost_Splits_Network,MATCH($H10,RIN_Asset_Cat_Network,0),MATCH($S$4,Direct_Cost_Type,0))*J10*HLOOKUP(S$5,Escalators!$I$25:$U$30,3,FALSE)</f>
        <v>0</v>
      </c>
      <c r="T10" s="47">
        <f>INDEX(Direct_Cost_Splits_Network,MATCH($H10,RIN_Asset_Cat_Network,0),MATCH($S$4,Direct_Cost_Type,0))*K10*HLOOKUP(T$5,Escalators!$I$25:$U$30,3,FALSE)</f>
        <v>0</v>
      </c>
      <c r="U10" s="47">
        <f>INDEX(Direct_Cost_Splits_Network,MATCH($H10,RIN_Asset_Cat_Network,0),MATCH($S$4,Direct_Cost_Type,0))*L10*HLOOKUP(U$5,Escalators!$I$25:$U$30,3,FALSE)</f>
        <v>0</v>
      </c>
      <c r="V10" s="47">
        <f>INDEX(Direct_Cost_Splits_Network,MATCH($H10,RIN_Asset_Cat_Network,0),MATCH($S$4,Direct_Cost_Type,0))*M10*HLOOKUP(V$5,Escalators!$I$25:$U$30,3,FALSE)</f>
        <v>120.00538306943965</v>
      </c>
      <c r="W10" s="47">
        <f>INDEX(Direct_Cost_Splits_Network,MATCH($H10,RIN_Asset_Cat_Network,0),MATCH($S$4,Direct_Cost_Type,0))*N10*HLOOKUP(W$5,Escalators!$I$25:$U$30,3,FALSE)</f>
        <v>40.412219256943985</v>
      </c>
      <c r="X10" s="47">
        <f>INDEX(Direct_Cost_Splits_Network,MATCH($H10,RIN_Asset_Cat_Network,0),MATCH($S$4,Direct_Cost_Type,0))*O10*HLOOKUP(X$5,Escalators!$I$25:$U$30,3,FALSE)</f>
        <v>0</v>
      </c>
      <c r="Y10" s="47">
        <f>INDEX(Direct_Cost_Splits_Network,MATCH($H10,RIN_Asset_Cat_Network,0),MATCH($S$4,Direct_Cost_Type,0))*P10*HLOOKUP(Y$5,Escalators!$I$25:$U$30,3,FALSE)</f>
        <v>0</v>
      </c>
      <c r="Z10" s="47">
        <f>INDEX(Direct_Cost_Splits_Network,MATCH($H10,RIN_Asset_Cat_Network,0),MATCH($S$4,Direct_Cost_Type,0))*Q10*HLOOKUP(Z$5,Escalators!$I$25:$U$30,3,FALSE)</f>
        <v>0</v>
      </c>
      <c r="AB10" s="6">
        <f>INDEX(Direct_Cost_Splits_Network,MATCH($H10,RIN_Asset_Cat_Network,0),MATCH($AG$4,Direct_Cost_Type,0))*$J10*INDEX(Act_Type_Augex_Splits,MATCH($I10,Act_Type_Augex,0),MATCH(AB$4,Mat_Type,0))*INDEX(Escalators!$I$44:$U$49,MATCH(AB$4,Escalators!$C$44:$C$49,0),MATCH(AB$5,Escalators!$I$43:$U$43,0))</f>
        <v>0</v>
      </c>
      <c r="AC10" s="6">
        <f>INDEX(Direct_Cost_Splits_Network,MATCH($H10,RIN_Asset_Cat_Network,0),MATCH($AG$4,Direct_Cost_Type,0))*$J10*INDEX(Act_Type_Augex_Splits,MATCH($I10,Act_Type_Augex,0),MATCH(AC$4,Mat_Type,0))*INDEX(Escalators!$I$44:$U$49,MATCH(AC$4,Escalators!$C$44:$C$49,0),MATCH(AC$5,Escalators!$I$43:$U$43,0))</f>
        <v>0</v>
      </c>
      <c r="AD10" s="6">
        <f>INDEX(Direct_Cost_Splits_Network,MATCH($H10,RIN_Asset_Cat_Network,0),MATCH($AG$4,Direct_Cost_Type,0))*$J10*INDEX(Act_Type_Augex_Splits,MATCH($I10,Act_Type_Augex,0),MATCH(AD$4,Mat_Type,0))*INDEX(Escalators!$I$44:$U$49,MATCH(AD$4,Escalators!$C$44:$C$49,0),MATCH(AD$5,Escalators!$I$43:$U$43,0))</f>
        <v>0</v>
      </c>
      <c r="AE10" s="6">
        <f>INDEX(Direct_Cost_Splits_Network,MATCH($H10,RIN_Asset_Cat_Network,0),MATCH($AG$4,Direct_Cost_Type,0))*$J10*INDEX(Act_Type_Augex_Splits,MATCH($I10,Act_Type_Augex,0),MATCH(AE$4,Mat_Type,0))*INDEX(Escalators!$I$44:$U$49,MATCH(AE$4,Escalators!$C$44:$C$49,0),MATCH(AE$5,Escalators!$I$43:$U$43,0))</f>
        <v>0</v>
      </c>
      <c r="AF10" s="6">
        <f>INDEX(Direct_Cost_Splits_Network,MATCH($H10,RIN_Asset_Cat_Network,0),MATCH($AG$4,Direct_Cost_Type,0))*$J10*INDEX(Act_Type_Augex_Splits,MATCH($I10,Act_Type_Augex,0),MATCH(AF$4,Mat_Type,0))*INDEX(Escalators!$I$44:$U$49,MATCH(AF$4,Escalators!$C$44:$C$49,0),MATCH(AF$5,Escalators!$I$43:$U$43,0))</f>
        <v>0</v>
      </c>
      <c r="AG10" s="47">
        <f t="shared" si="23"/>
        <v>0</v>
      </c>
      <c r="AH10" s="47">
        <f>INDEX(Direct_Cost_Splits_Network,MATCH($H10,RIN_Asset_Cat_Network,0),MATCH($AY$4,Direct_Cost_Type,0))*$K10*INDEX(Act_Type_Augex_Splits,MATCH($I10,Act_Type_Augex,0),MATCH(AH$4,Mat_Type,0))*INDEX(Escalators!$I$44:$U$49,MATCH(AH$4,Escalators!$C$44:$C$49,0),MATCH(AH$5,Escalators!$I$43:$U$43,0))</f>
        <v>0</v>
      </c>
      <c r="AI10" s="47">
        <f>INDEX(Direct_Cost_Splits_Network,MATCH($H10,RIN_Asset_Cat_Network,0),MATCH($AY$4,Direct_Cost_Type,0))*$K10*INDEX(Act_Type_Augex_Splits,MATCH($I10,Act_Type_Augex,0),MATCH(AI$4,Mat_Type,0))*INDEX(Escalators!$I$44:$U$49,MATCH(AI$4,Escalators!$C$44:$C$49,0),MATCH(AI$5,Escalators!$I$43:$U$43,0))</f>
        <v>0</v>
      </c>
      <c r="AJ10" s="47">
        <f>INDEX(Direct_Cost_Splits_Network,MATCH($H10,RIN_Asset_Cat_Network,0),MATCH($AY$4,Direct_Cost_Type,0))*$K10*INDEX(Act_Type_Augex_Splits,MATCH($I10,Act_Type_Augex,0),MATCH(AJ$4,Mat_Type,0))*INDEX(Escalators!$I$44:$U$49,MATCH(AJ$4,Escalators!$C$44:$C$49,0),MATCH(AJ$5,Escalators!$I$43:$U$43,0))</f>
        <v>0</v>
      </c>
      <c r="AK10" s="47">
        <f>INDEX(Direct_Cost_Splits_Network,MATCH($H10,RIN_Asset_Cat_Network,0),MATCH($AY$4,Direct_Cost_Type,0))*$K10*INDEX(Act_Type_Augex_Splits,MATCH($I10,Act_Type_Augex,0),MATCH(AK$4,Mat_Type,0))*INDEX(Escalators!$I$44:$U$49,MATCH(AK$4,Escalators!$C$44:$C$49,0),MATCH(AK$5,Escalators!$I$43:$U$43,0))</f>
        <v>0</v>
      </c>
      <c r="AL10" s="47">
        <f>INDEX(Direct_Cost_Splits_Network,MATCH($H10,RIN_Asset_Cat_Network,0),MATCH($AY$4,Direct_Cost_Type,0))*$K10*INDEX(Act_Type_Augex_Splits,MATCH($I10,Act_Type_Augex,0),MATCH(AL$4,Mat_Type,0))*INDEX(Escalators!$I$44:$U$49,MATCH(AL$4,Escalators!$C$44:$C$49,0),MATCH(AL$5,Escalators!$I$43:$U$43,0))</f>
        <v>0</v>
      </c>
      <c r="AM10" s="47">
        <f t="shared" si="24"/>
        <v>0</v>
      </c>
      <c r="AN10" s="47">
        <f>INDEX(Direct_Cost_Splits_Network,MATCH($H10,RIN_Asset_Cat_Network,0),MATCH($AY$4,Direct_Cost_Type,0))*$L10*INDEX(Act_Type_Augex_Splits,MATCH($I10,Act_Type_Augex,0),MATCH(AN$4,Mat_Type,0))*INDEX(Escalators!$I$44:$U$49,MATCH(AN$4,Escalators!$C$44:$C$49,0),MATCH(AN$5,Escalators!$I$43:$U$43,0))</f>
        <v>0</v>
      </c>
      <c r="AO10" s="47">
        <f>INDEX(Direct_Cost_Splits_Network,MATCH($H10,RIN_Asset_Cat_Network,0),MATCH($AY$4,Direct_Cost_Type,0))*$L10*INDEX(Act_Type_Augex_Splits,MATCH($I10,Act_Type_Augex,0),MATCH(AO$4,Mat_Type,0))*INDEX(Escalators!$I$44:$U$49,MATCH(AO$4,Escalators!$C$44:$C$49,0),MATCH(AO$5,Escalators!$I$43:$U$43,0))</f>
        <v>0</v>
      </c>
      <c r="AP10" s="47">
        <f>INDEX(Direct_Cost_Splits_Network,MATCH($H10,RIN_Asset_Cat_Network,0),MATCH($AY$4,Direct_Cost_Type,0))*$L10*INDEX(Act_Type_Augex_Splits,MATCH($I10,Act_Type_Augex,0),MATCH(AP$4,Mat_Type,0))*INDEX(Escalators!$I$44:$U$49,MATCH(AP$4,Escalators!$C$44:$C$49,0),MATCH(AP$5,Escalators!$I$43:$U$43,0))</f>
        <v>0</v>
      </c>
      <c r="AQ10" s="47">
        <f>INDEX(Direct_Cost_Splits_Network,MATCH($H10,RIN_Asset_Cat_Network,0),MATCH($AY$4,Direct_Cost_Type,0))*$L10*INDEX(Act_Type_Augex_Splits,MATCH($I10,Act_Type_Augex,0),MATCH(AQ$4,Mat_Type,0))*INDEX(Escalators!$I$44:$U$49,MATCH(AQ$4,Escalators!$C$44:$C$49,0),MATCH(AQ$5,Escalators!$I$43:$U$43,0))</f>
        <v>0</v>
      </c>
      <c r="AR10" s="47">
        <f>INDEX(Direct_Cost_Splits_Network,MATCH($H10,RIN_Asset_Cat_Network,0),MATCH($AY$4,Direct_Cost_Type,0))*$L10*INDEX(Act_Type_Augex_Splits,MATCH($I10,Act_Type_Augex,0),MATCH(AR$4,Mat_Type,0))*INDEX(Escalators!$I$44:$U$49,MATCH(AR$4,Escalators!$C$44:$C$49,0),MATCH(AR$5,Escalators!$I$43:$U$43,0))</f>
        <v>0</v>
      </c>
      <c r="AS10" s="47">
        <f t="shared" si="8"/>
        <v>0</v>
      </c>
      <c r="AT10" s="47">
        <f>INDEX(Direct_Cost_Splits_Network,MATCH($H10,RIN_Asset_Cat_Network,0),MATCH($AY$4,Direct_Cost_Type,0))*$M10*INDEX(Act_Type_Augex_Splits,MATCH($I10,Act_Type_Augex,0),MATCH(AT$4,Mat_Type,0))*INDEX(Escalators!$I$44:$U$49,MATCH(AT$4,Escalators!$C$44:$C$49,0),MATCH(AT$5,Escalators!$I$43:$U$43,0))</f>
        <v>155.18159651986679</v>
      </c>
      <c r="AU10" s="47">
        <f>INDEX(Direct_Cost_Splits_Network,MATCH($H10,RIN_Asset_Cat_Network,0),MATCH($AY$4,Direct_Cost_Type,0))*$M10*INDEX(Act_Type_Augex_Splits,MATCH($I10,Act_Type_Augex,0),MATCH(AU$4,Mat_Type,0))*INDEX(Escalators!$I$44:$U$49,MATCH(AU$4,Escalators!$C$44:$C$49,0),MATCH(AU$5,Escalators!$I$43:$U$43,0))</f>
        <v>0</v>
      </c>
      <c r="AV10" s="47">
        <f>INDEX(Direct_Cost_Splits_Network,MATCH($H10,RIN_Asset_Cat_Network,0),MATCH($AY$4,Direct_Cost_Type,0))*$M10*INDEX(Act_Type_Augex_Splits,MATCH($I10,Act_Type_Augex,0),MATCH(AV$4,Mat_Type,0))*INDEX(Escalators!$I$44:$U$49,MATCH(AV$4,Escalators!$C$44:$C$49,0),MATCH(AV$5,Escalators!$I$43:$U$43,0))</f>
        <v>30.109862011317436</v>
      </c>
      <c r="AW10" s="47">
        <f>INDEX(Direct_Cost_Splits_Network,MATCH($H10,RIN_Asset_Cat_Network,0),MATCH($AY$4,Direct_Cost_Type,0))*$M10*INDEX(Act_Type_Augex_Splits,MATCH($I10,Act_Type_Augex,0),MATCH(AW$4,Mat_Type,0))*INDEX(Escalators!$I$44:$U$49,MATCH(AW$4,Escalators!$C$44:$C$49,0),MATCH(AW$5,Escalators!$I$43:$U$43,0))</f>
        <v>0</v>
      </c>
      <c r="AX10" s="47">
        <f>INDEX(Direct_Cost_Splits_Network,MATCH($H10,RIN_Asset_Cat_Network,0),MATCH($AY$4,Direct_Cost_Type,0))*$M10*INDEX(Act_Type_Augex_Splits,MATCH($I10,Act_Type_Augex,0),MATCH(AX$4,Mat_Type,0))*INDEX(Escalators!$I$44:$U$49,MATCH(AX$4,Escalators!$C$44:$C$49,0),MATCH(AX$5,Escalators!$I$43:$U$43,0))</f>
        <v>46.322864632796055</v>
      </c>
      <c r="AY10" s="47">
        <f t="shared" si="9"/>
        <v>231.61432316398026</v>
      </c>
      <c r="AZ10" s="47">
        <f>INDEX(Direct_Cost_Splits_Network,MATCH($H10,RIN_Asset_Cat_Network,0),MATCH($BE$4,Direct_Cost_Type,0))*$N10*INDEX(Act_Type_Augex_Splits,MATCH($I10,Act_Type_Augex,0),MATCH(AZ$4,Mat_Type,0))*INDEX(Escalators!$I$44:$U$49,MATCH(AZ$4,Escalators!$C$44:$C$49,0),MATCH(AZ$5,Escalators!$I$43:$U$43,0))</f>
        <v>51.727198839955598</v>
      </c>
      <c r="BA10" s="47">
        <f>INDEX(Direct_Cost_Splits_Network,MATCH($H10,RIN_Asset_Cat_Network,0),MATCH($BE$4,Direct_Cost_Type,0))*$N10*INDEX(Act_Type_Augex_Splits,MATCH($I10,Act_Type_Augex,0),MATCH(BA$4,Mat_Type,0))*INDEX(Escalators!$I$44:$U$49,MATCH(BA$4,Escalators!$C$44:$C$49,0),MATCH(BA$5,Escalators!$I$43:$U$43,0))</f>
        <v>0</v>
      </c>
      <c r="BB10" s="47">
        <f>INDEX(Direct_Cost_Splits_Network,MATCH($H10,RIN_Asset_Cat_Network,0),MATCH($BE$4,Direct_Cost_Type,0))*$N10*INDEX(Act_Type_Augex_Splits,MATCH($I10,Act_Type_Augex,0),MATCH(BB$4,Mat_Type,0))*INDEX(Escalators!$I$44:$U$49,MATCH(BB$4,Escalators!$C$44:$C$49,0),MATCH(BB$5,Escalators!$I$43:$U$43,0))</f>
        <v>10.036620670439145</v>
      </c>
      <c r="BC10" s="47">
        <f>INDEX(Direct_Cost_Splits_Network,MATCH($H10,RIN_Asset_Cat_Network,0),MATCH($BE$4,Direct_Cost_Type,0))*$N10*INDEX(Act_Type_Augex_Splits,MATCH($I10,Act_Type_Augex,0),MATCH(BC$4,Mat_Type,0))*INDEX(Escalators!$I$44:$U$49,MATCH(BC$4,Escalators!$C$44:$C$49,0),MATCH(BC$5,Escalators!$I$43:$U$43,0))</f>
        <v>0</v>
      </c>
      <c r="BD10" s="47">
        <f>INDEX(Direct_Cost_Splits_Network,MATCH($H10,RIN_Asset_Cat_Network,0),MATCH($BE$4,Direct_Cost_Type,0))*$N10*INDEX(Act_Type_Augex_Splits,MATCH($I10,Act_Type_Augex,0),MATCH(BD$4,Mat_Type,0))*INDEX(Escalators!$I$44:$U$49,MATCH(BD$4,Escalators!$C$44:$C$49,0),MATCH(BD$5,Escalators!$I$43:$U$43,0))</f>
        <v>15.440954877598685</v>
      </c>
      <c r="BE10" s="47">
        <f t="shared" si="10"/>
        <v>77.204774387993425</v>
      </c>
      <c r="BF10" s="47">
        <f>INDEX(Direct_Cost_Splits_Network,MATCH($H10,RIN_Asset_Cat_Network,0),MATCH($BK$4,Direct_Cost_Type,0))*$O10*INDEX(Act_Type_Augex_Splits,MATCH($I10,Act_Type_Augex,0),MATCH(BF$4,Mat_Type,0))*INDEX(Escalators!$I$44:$U$49,MATCH(BF$4,Escalators!$C$44:$C$49,0),MATCH(BF$5,Escalators!$I$43:$U$43,0))</f>
        <v>0</v>
      </c>
      <c r="BG10" s="47">
        <f>INDEX(Direct_Cost_Splits_Network,MATCH($H10,RIN_Asset_Cat_Network,0),MATCH($BK$4,Direct_Cost_Type,0))*$O10*INDEX(Act_Type_Augex_Splits,MATCH($I10,Act_Type_Augex,0),MATCH(BG$4,Mat_Type,0))*INDEX(Escalators!$I$44:$U$49,MATCH(BG$4,Escalators!$C$44:$C$49,0),MATCH(BG$5,Escalators!$I$43:$U$43,0))</f>
        <v>0</v>
      </c>
      <c r="BH10" s="47">
        <f>INDEX(Direct_Cost_Splits_Network,MATCH($H10,RIN_Asset_Cat_Network,0),MATCH($BK$4,Direct_Cost_Type,0))*$O10*INDEX(Act_Type_Augex_Splits,MATCH($I10,Act_Type_Augex,0),MATCH(BH$4,Mat_Type,0))*INDEX(Escalators!$I$44:$U$49,MATCH(BH$4,Escalators!$C$44:$C$49,0),MATCH(BH$5,Escalators!$I$43:$U$43,0))</f>
        <v>0</v>
      </c>
      <c r="BI10" s="47">
        <f>INDEX(Direct_Cost_Splits_Network,MATCH($H10,RIN_Asset_Cat_Network,0),MATCH($BK$4,Direct_Cost_Type,0))*$O10*INDEX(Act_Type_Augex_Splits,MATCH($I10,Act_Type_Augex,0),MATCH(BI$4,Mat_Type,0))*INDEX(Escalators!$I$44:$U$49,MATCH(BI$4,Escalators!$C$44:$C$49,0),MATCH(BI$5,Escalators!$I$43:$U$43,0))</f>
        <v>0</v>
      </c>
      <c r="BJ10" s="47">
        <f>INDEX(Direct_Cost_Splits_Network,MATCH($H10,RIN_Asset_Cat_Network,0),MATCH($BK$4,Direct_Cost_Type,0))*$O10*INDEX(Act_Type_Augex_Splits,MATCH($I10,Act_Type_Augex,0),MATCH(BJ$4,Mat_Type,0))*INDEX(Escalators!$I$44:$U$49,MATCH(BJ$4,Escalators!$C$44:$C$49,0),MATCH(BJ$5,Escalators!$I$43:$U$43,0))</f>
        <v>0</v>
      </c>
      <c r="BK10" s="47">
        <f t="shared" si="11"/>
        <v>0</v>
      </c>
      <c r="BL10" s="47">
        <f>INDEX(Direct_Cost_Splits_Network,MATCH($H10,RIN_Asset_Cat_Network,0),MATCH($BQ$4,Direct_Cost_Type,0))*$P10*INDEX(Act_Type_Augex_Splits,MATCH($I10,Act_Type_Augex,0),MATCH(BL$4,Mat_Type,0))*INDEX(Escalators!$I$44:$U$49,MATCH(BL$4,Escalators!$C$44:$C$49,0),MATCH(BL$5,Escalators!$I$43:$U$43,0))</f>
        <v>0</v>
      </c>
      <c r="BM10" s="47">
        <f>INDEX(Direct_Cost_Splits_Network,MATCH($H10,RIN_Asset_Cat_Network,0),MATCH($BQ$4,Direct_Cost_Type,0))*$P10*INDEX(Act_Type_Augex_Splits,MATCH($I10,Act_Type_Augex,0),MATCH(BM$4,Mat_Type,0))*INDEX(Escalators!$I$44:$U$49,MATCH(BM$4,Escalators!$C$44:$C$49,0),MATCH(BM$5,Escalators!$I$43:$U$43,0))</f>
        <v>0</v>
      </c>
      <c r="BN10" s="47">
        <f>INDEX(Direct_Cost_Splits_Network,MATCH($H10,RIN_Asset_Cat_Network,0),MATCH($BQ$4,Direct_Cost_Type,0))*$P10*INDEX(Act_Type_Augex_Splits,MATCH($I10,Act_Type_Augex,0),MATCH(BN$4,Mat_Type,0))*INDEX(Escalators!$I$44:$U$49,MATCH(BN$4,Escalators!$C$44:$C$49,0),MATCH(BN$5,Escalators!$I$43:$U$43,0))</f>
        <v>0</v>
      </c>
      <c r="BO10" s="47">
        <f>INDEX(Direct_Cost_Splits_Network,MATCH($H10,RIN_Asset_Cat_Network,0),MATCH($BQ$4,Direct_Cost_Type,0))*$P10*INDEX(Act_Type_Augex_Splits,MATCH($I10,Act_Type_Augex,0),MATCH(BO$4,Mat_Type,0))*INDEX(Escalators!$I$44:$U$49,MATCH(BO$4,Escalators!$C$44:$C$49,0),MATCH(BO$5,Escalators!$I$43:$U$43,0))</f>
        <v>0</v>
      </c>
      <c r="BP10" s="47">
        <f>INDEX(Direct_Cost_Splits_Network,MATCH($H10,RIN_Asset_Cat_Network,0),MATCH($BQ$4,Direct_Cost_Type,0))*$P10*INDEX(Act_Type_Augex_Splits,MATCH($I10,Act_Type_Augex,0),MATCH(BP$4,Mat_Type,0))*INDEX(Escalators!$I$44:$U$49,MATCH(BP$4,Escalators!$C$44:$C$49,0),MATCH(BP$5,Escalators!$I$43:$U$43,0))</f>
        <v>0</v>
      </c>
      <c r="BQ10" s="47">
        <f t="shared" si="12"/>
        <v>0</v>
      </c>
      <c r="BR10" s="47">
        <f>INDEX(Direct_Cost_Splits_Network,MATCH($H10,RIN_Asset_Cat_Network,0),MATCH($BW$4,Direct_Cost_Type,0))*$Q10*INDEX(Act_Type_Augex_Splits,MATCH($I10,Act_Type_Augex,0),MATCH(BR$4,Mat_Type,0))*INDEX(Escalators!$I$44:$U$49,MATCH(BR$4,Escalators!$C$44:$C$49,0),MATCH(BR$5,Escalators!$I$43:$U$43,0))</f>
        <v>0</v>
      </c>
      <c r="BS10" s="47">
        <f>INDEX(Direct_Cost_Splits_Network,MATCH($H10,RIN_Asset_Cat_Network,0),MATCH($BW$4,Direct_Cost_Type,0))*$Q10*INDEX(Act_Type_Augex_Splits,MATCH($I10,Act_Type_Augex,0),MATCH(BS$4,Mat_Type,0))*INDEX(Escalators!$I$44:$U$49,MATCH(BS$4,Escalators!$C$44:$C$49,0),MATCH(BS$5,Escalators!$I$43:$U$43,0))</f>
        <v>0</v>
      </c>
      <c r="BT10" s="47">
        <f>INDEX(Direct_Cost_Splits_Network,MATCH($H10,RIN_Asset_Cat_Network,0),MATCH($BW$4,Direct_Cost_Type,0))*$Q10*INDEX(Act_Type_Augex_Splits,MATCH($I10,Act_Type_Augex,0),MATCH(BT$4,Mat_Type,0))*INDEX(Escalators!$I$44:$U$49,MATCH(BT$4,Escalators!$C$44:$C$49,0),MATCH(BT$5,Escalators!$I$43:$U$43,0))</f>
        <v>0</v>
      </c>
      <c r="BU10" s="47">
        <f>INDEX(Direct_Cost_Splits_Network,MATCH($H10,RIN_Asset_Cat_Network,0),MATCH($BW$4,Direct_Cost_Type,0))*$Q10*INDEX(Act_Type_Augex_Splits,MATCH($I10,Act_Type_Augex,0),MATCH(BU$4,Mat_Type,0))*INDEX(Escalators!$I$44:$U$49,MATCH(BU$4,Escalators!$C$44:$C$49,0),MATCH(BU$5,Escalators!$I$43:$U$43,0))</f>
        <v>0</v>
      </c>
      <c r="BV10" s="47">
        <f>INDEX(Direct_Cost_Splits_Network,MATCH($H10,RIN_Asset_Cat_Network,0),MATCH($BW$4,Direct_Cost_Type,0))*$Q10*INDEX(Act_Type_Augex_Splits,MATCH($I10,Act_Type_Augex,0),MATCH(BV$4,Mat_Type,0))*INDEX(Escalators!$I$44:$U$49,MATCH(BV$4,Escalators!$C$44:$C$49,0),MATCH(BV$5,Escalators!$I$43:$U$43,0))</f>
        <v>0</v>
      </c>
      <c r="BW10" s="47">
        <f t="shared" si="13"/>
        <v>0</v>
      </c>
      <c r="BY10" s="47">
        <f>INDEX(Direct_Cost_Splits_Network,MATCH($H10,RIN_Asset_Cat_Network,0),MATCH($BY$4,Direct_Cost_Type,0))*J10*HLOOKUP(BY$5,Escalators!$I$25:$U$30,6,FALSE)</f>
        <v>0</v>
      </c>
      <c r="BZ10" s="47">
        <f>INDEX(Direct_Cost_Splits_Network,MATCH($H10,RIN_Asset_Cat_Network,0),MATCH($BY$4,Direct_Cost_Type,0))*K10*HLOOKUP(BZ$5,Escalators!$I$25:$U$30,6,FALSE)</f>
        <v>0</v>
      </c>
      <c r="CA10" s="47">
        <f>INDEX(Direct_Cost_Splits_Network,MATCH($H10,RIN_Asset_Cat_Network,0),MATCH($BY$4,Direct_Cost_Type,0))*L10*HLOOKUP(CA$5,Escalators!$I$25:$U$30,6,FALSE)</f>
        <v>0</v>
      </c>
      <c r="CB10" s="47">
        <f>INDEX(Direct_Cost_Splits_Network,MATCH($H10,RIN_Asset_Cat_Network,0),MATCH($BY$4,Direct_Cost_Type,0))*M10*HLOOKUP(CB$5,Escalators!$I$25:$U$30,6,FALSE)</f>
        <v>325.94586128613213</v>
      </c>
      <c r="CC10" s="47">
        <f>INDEX(Direct_Cost_Splits_Network,MATCH($H10,RIN_Asset_Cat_Network,0),MATCH($BY$4,Direct_Cost_Type,0))*N10*HLOOKUP(CC$5,Escalators!$I$25:$U$30,6,FALSE)</f>
        <v>109.76337290275296</v>
      </c>
      <c r="CD10" s="47">
        <f>INDEX(Direct_Cost_Splits_Network,MATCH($H10,RIN_Asset_Cat_Network,0),MATCH($BY$4,Direct_Cost_Type,0))*O10*HLOOKUP(CD$5,Escalators!$I$25:$U$30,6,FALSE)</f>
        <v>0</v>
      </c>
      <c r="CE10" s="47">
        <f>INDEX(Direct_Cost_Splits_Network,MATCH($H10,RIN_Asset_Cat_Network,0),MATCH($BY$4,Direct_Cost_Type,0))*P10*HLOOKUP(CE$5,Escalators!$I$25:$U$30,6,FALSE)</f>
        <v>0</v>
      </c>
      <c r="CF10" s="47">
        <f>INDEX(Direct_Cost_Splits_Network,MATCH($H10,RIN_Asset_Cat_Network,0),MATCH($BY$4,Direct_Cost_Type,0))*Q10*HLOOKUP(CF$5,Escalators!$I$25:$U$30,6,FALSE)</f>
        <v>0</v>
      </c>
      <c r="CH10" s="47">
        <f t="shared" si="14"/>
        <v>0</v>
      </c>
      <c r="CI10" s="47">
        <f t="shared" si="14"/>
        <v>0</v>
      </c>
      <c r="CJ10" s="47">
        <f t="shared" si="14"/>
        <v>0</v>
      </c>
      <c r="CK10" s="47">
        <f t="shared" si="14"/>
        <v>86.687099794185116</v>
      </c>
      <c r="CL10" s="47">
        <f t="shared" si="14"/>
        <v>28.895699931395036</v>
      </c>
      <c r="CM10" s="47">
        <f t="shared" si="14"/>
        <v>0</v>
      </c>
      <c r="CN10" s="47">
        <f t="shared" si="14"/>
        <v>0</v>
      </c>
      <c r="CO10" s="47">
        <f t="shared" si="14"/>
        <v>0</v>
      </c>
      <c r="CQ10" s="373">
        <f t="shared" si="15"/>
        <v>0</v>
      </c>
      <c r="CR10" s="47">
        <f t="shared" si="16"/>
        <v>0</v>
      </c>
      <c r="CS10" s="47">
        <f t="shared" si="17"/>
        <v>0</v>
      </c>
      <c r="CT10" s="47">
        <f t="shared" si="18"/>
        <v>764.25266731373711</v>
      </c>
      <c r="CU10" s="47">
        <f t="shared" si="19"/>
        <v>256.27606647908539</v>
      </c>
      <c r="CV10" s="47">
        <f t="shared" si="20"/>
        <v>0</v>
      </c>
      <c r="CW10" s="47">
        <f t="shared" si="21"/>
        <v>0</v>
      </c>
      <c r="CX10" s="47">
        <f t="shared" si="22"/>
        <v>0</v>
      </c>
      <c r="CZ10" s="39"/>
      <c r="DA10" s="39"/>
      <c r="DB10" s="39"/>
      <c r="DC10" s="39"/>
      <c r="DD10" s="39"/>
      <c r="DE10" s="39"/>
    </row>
    <row r="11" spans="1:109" x14ac:dyDescent="0.3">
      <c r="B11" s="7" t="s">
        <v>427</v>
      </c>
      <c r="C11" s="7" t="s">
        <v>418</v>
      </c>
      <c r="D11" s="7"/>
      <c r="E11" s="7" t="s">
        <v>48</v>
      </c>
      <c r="F11" s="7" t="s">
        <v>51</v>
      </c>
      <c r="G11" s="7" t="s">
        <v>10</v>
      </c>
      <c r="H11" s="7" t="s">
        <v>165</v>
      </c>
      <c r="I11" s="7" t="s">
        <v>5</v>
      </c>
      <c r="J11" s="45"/>
      <c r="K11" s="45"/>
      <c r="L11" s="45"/>
      <c r="M11" s="45">
        <v>376.8</v>
      </c>
      <c r="N11" s="45">
        <v>0</v>
      </c>
      <c r="O11" s="45">
        <v>0</v>
      </c>
      <c r="P11" s="45">
        <v>0</v>
      </c>
      <c r="Q11" s="45">
        <v>0</v>
      </c>
      <c r="S11" s="47">
        <f>INDEX(Direct_Cost_Splits_Network,MATCH($H11,RIN_Asset_Cat_Network,0),MATCH($S$4,Direct_Cost_Type,0))*J11*HLOOKUP(S$5,Escalators!$I$25:$U$30,3,FALSE)</f>
        <v>0</v>
      </c>
      <c r="T11" s="47">
        <f>INDEX(Direct_Cost_Splits_Network,MATCH($H11,RIN_Asset_Cat_Network,0),MATCH($S$4,Direct_Cost_Type,0))*K11*HLOOKUP(T$5,Escalators!$I$25:$U$30,3,FALSE)</f>
        <v>0</v>
      </c>
      <c r="U11" s="47">
        <f>INDEX(Direct_Cost_Splits_Network,MATCH($H11,RIN_Asset_Cat_Network,0),MATCH($S$4,Direct_Cost_Type,0))*L11*HLOOKUP(U$5,Escalators!$I$25:$U$30,3,FALSE)</f>
        <v>0</v>
      </c>
      <c r="V11" s="47">
        <f>INDEX(Direct_Cost_Splits_Network,MATCH($H11,RIN_Asset_Cat_Network,0),MATCH($S$4,Direct_Cost_Type,0))*M11*HLOOKUP(V$5,Escalators!$I$25:$U$30,3,FALSE)</f>
        <v>60.290704454086459</v>
      </c>
      <c r="W11" s="47">
        <f>INDEX(Direct_Cost_Splits_Network,MATCH($H11,RIN_Asset_Cat_Network,0),MATCH($S$4,Direct_Cost_Type,0))*N11*HLOOKUP(W$5,Escalators!$I$25:$U$30,3,FALSE)</f>
        <v>0</v>
      </c>
      <c r="X11" s="47">
        <f>INDEX(Direct_Cost_Splits_Network,MATCH($H11,RIN_Asset_Cat_Network,0),MATCH($S$4,Direct_Cost_Type,0))*O11*HLOOKUP(X$5,Escalators!$I$25:$U$30,3,FALSE)</f>
        <v>0</v>
      </c>
      <c r="Y11" s="47">
        <f>INDEX(Direct_Cost_Splits_Network,MATCH($H11,RIN_Asset_Cat_Network,0),MATCH($S$4,Direct_Cost_Type,0))*P11*HLOOKUP(Y$5,Escalators!$I$25:$U$30,3,FALSE)</f>
        <v>0</v>
      </c>
      <c r="Z11" s="47">
        <f>INDEX(Direct_Cost_Splits_Network,MATCH($H11,RIN_Asset_Cat_Network,0),MATCH($S$4,Direct_Cost_Type,0))*Q11*HLOOKUP(Z$5,Escalators!$I$25:$U$30,3,FALSE)</f>
        <v>0</v>
      </c>
      <c r="AB11" s="6">
        <f>INDEX(Direct_Cost_Splits_Network,MATCH($H11,RIN_Asset_Cat_Network,0),MATCH($AG$4,Direct_Cost_Type,0))*$J11*INDEX(Act_Type_Augex_Splits,MATCH($I11,Act_Type_Augex,0),MATCH(AB$4,Mat_Type,0))*INDEX(Escalators!$I$44:$U$49,MATCH(AB$4,Escalators!$C$44:$C$49,0),MATCH(AB$5,Escalators!$I$43:$U$43,0))</f>
        <v>0</v>
      </c>
      <c r="AC11" s="6">
        <f>INDEX(Direct_Cost_Splits_Network,MATCH($H11,RIN_Asset_Cat_Network,0),MATCH($AG$4,Direct_Cost_Type,0))*$J11*INDEX(Act_Type_Augex_Splits,MATCH($I11,Act_Type_Augex,0),MATCH(AC$4,Mat_Type,0))*INDEX(Escalators!$I$44:$U$49,MATCH(AC$4,Escalators!$C$44:$C$49,0),MATCH(AC$5,Escalators!$I$43:$U$43,0))</f>
        <v>0</v>
      </c>
      <c r="AD11" s="6">
        <f>INDEX(Direct_Cost_Splits_Network,MATCH($H11,RIN_Asset_Cat_Network,0),MATCH($AG$4,Direct_Cost_Type,0))*$J11*INDEX(Act_Type_Augex_Splits,MATCH($I11,Act_Type_Augex,0),MATCH(AD$4,Mat_Type,0))*INDEX(Escalators!$I$44:$U$49,MATCH(AD$4,Escalators!$C$44:$C$49,0),MATCH(AD$5,Escalators!$I$43:$U$43,0))</f>
        <v>0</v>
      </c>
      <c r="AE11" s="6">
        <f>INDEX(Direct_Cost_Splits_Network,MATCH($H11,RIN_Asset_Cat_Network,0),MATCH($AG$4,Direct_Cost_Type,0))*$J11*INDEX(Act_Type_Augex_Splits,MATCH($I11,Act_Type_Augex,0),MATCH(AE$4,Mat_Type,0))*INDEX(Escalators!$I$44:$U$49,MATCH(AE$4,Escalators!$C$44:$C$49,0),MATCH(AE$5,Escalators!$I$43:$U$43,0))</f>
        <v>0</v>
      </c>
      <c r="AF11" s="6">
        <f>INDEX(Direct_Cost_Splits_Network,MATCH($H11,RIN_Asset_Cat_Network,0),MATCH($AG$4,Direct_Cost_Type,0))*$J11*INDEX(Act_Type_Augex_Splits,MATCH($I11,Act_Type_Augex,0),MATCH(AF$4,Mat_Type,0))*INDEX(Escalators!$I$44:$U$49,MATCH(AF$4,Escalators!$C$44:$C$49,0),MATCH(AF$5,Escalators!$I$43:$U$43,0))</f>
        <v>0</v>
      </c>
      <c r="AG11" s="47">
        <f t="shared" si="23"/>
        <v>0</v>
      </c>
      <c r="AH11" s="47">
        <f>INDEX(Direct_Cost_Splits_Network,MATCH($H11,RIN_Asset_Cat_Network,0),MATCH($AY$4,Direct_Cost_Type,0))*$K11*INDEX(Act_Type_Augex_Splits,MATCH($I11,Act_Type_Augex,0),MATCH(AH$4,Mat_Type,0))*INDEX(Escalators!$I$44:$U$49,MATCH(AH$4,Escalators!$C$44:$C$49,0),MATCH(AH$5,Escalators!$I$43:$U$43,0))</f>
        <v>0</v>
      </c>
      <c r="AI11" s="47">
        <f>INDEX(Direct_Cost_Splits_Network,MATCH($H11,RIN_Asset_Cat_Network,0),MATCH($AY$4,Direct_Cost_Type,0))*$K11*INDEX(Act_Type_Augex_Splits,MATCH($I11,Act_Type_Augex,0),MATCH(AI$4,Mat_Type,0))*INDEX(Escalators!$I$44:$U$49,MATCH(AI$4,Escalators!$C$44:$C$49,0),MATCH(AI$5,Escalators!$I$43:$U$43,0))</f>
        <v>0</v>
      </c>
      <c r="AJ11" s="47">
        <f>INDEX(Direct_Cost_Splits_Network,MATCH($H11,RIN_Asset_Cat_Network,0),MATCH($AY$4,Direct_Cost_Type,0))*$K11*INDEX(Act_Type_Augex_Splits,MATCH($I11,Act_Type_Augex,0),MATCH(AJ$4,Mat_Type,0))*INDEX(Escalators!$I$44:$U$49,MATCH(AJ$4,Escalators!$C$44:$C$49,0),MATCH(AJ$5,Escalators!$I$43:$U$43,0))</f>
        <v>0</v>
      </c>
      <c r="AK11" s="47">
        <f>INDEX(Direct_Cost_Splits_Network,MATCH($H11,RIN_Asset_Cat_Network,0),MATCH($AY$4,Direct_Cost_Type,0))*$K11*INDEX(Act_Type_Augex_Splits,MATCH($I11,Act_Type_Augex,0),MATCH(AK$4,Mat_Type,0))*INDEX(Escalators!$I$44:$U$49,MATCH(AK$4,Escalators!$C$44:$C$49,0),MATCH(AK$5,Escalators!$I$43:$U$43,0))</f>
        <v>0</v>
      </c>
      <c r="AL11" s="47">
        <f>INDEX(Direct_Cost_Splits_Network,MATCH($H11,RIN_Asset_Cat_Network,0),MATCH($AY$4,Direct_Cost_Type,0))*$K11*INDEX(Act_Type_Augex_Splits,MATCH($I11,Act_Type_Augex,0),MATCH(AL$4,Mat_Type,0))*INDEX(Escalators!$I$44:$U$49,MATCH(AL$4,Escalators!$C$44:$C$49,0),MATCH(AL$5,Escalators!$I$43:$U$43,0))</f>
        <v>0</v>
      </c>
      <c r="AM11" s="47">
        <f t="shared" si="24"/>
        <v>0</v>
      </c>
      <c r="AN11" s="47">
        <f>INDEX(Direct_Cost_Splits_Network,MATCH($H11,RIN_Asset_Cat_Network,0),MATCH($AY$4,Direct_Cost_Type,0))*$L11*INDEX(Act_Type_Augex_Splits,MATCH($I11,Act_Type_Augex,0),MATCH(AN$4,Mat_Type,0))*INDEX(Escalators!$I$44:$U$49,MATCH(AN$4,Escalators!$C$44:$C$49,0),MATCH(AN$5,Escalators!$I$43:$U$43,0))</f>
        <v>0</v>
      </c>
      <c r="AO11" s="47">
        <f>INDEX(Direct_Cost_Splits_Network,MATCH($H11,RIN_Asset_Cat_Network,0),MATCH($AY$4,Direct_Cost_Type,0))*$L11*INDEX(Act_Type_Augex_Splits,MATCH($I11,Act_Type_Augex,0),MATCH(AO$4,Mat_Type,0))*INDEX(Escalators!$I$44:$U$49,MATCH(AO$4,Escalators!$C$44:$C$49,0),MATCH(AO$5,Escalators!$I$43:$U$43,0))</f>
        <v>0</v>
      </c>
      <c r="AP11" s="47">
        <f>INDEX(Direct_Cost_Splits_Network,MATCH($H11,RIN_Asset_Cat_Network,0),MATCH($AY$4,Direct_Cost_Type,0))*$L11*INDEX(Act_Type_Augex_Splits,MATCH($I11,Act_Type_Augex,0),MATCH(AP$4,Mat_Type,0))*INDEX(Escalators!$I$44:$U$49,MATCH(AP$4,Escalators!$C$44:$C$49,0),MATCH(AP$5,Escalators!$I$43:$U$43,0))</f>
        <v>0</v>
      </c>
      <c r="AQ11" s="47">
        <f>INDEX(Direct_Cost_Splits_Network,MATCH($H11,RIN_Asset_Cat_Network,0),MATCH($AY$4,Direct_Cost_Type,0))*$L11*INDEX(Act_Type_Augex_Splits,MATCH($I11,Act_Type_Augex,0),MATCH(AQ$4,Mat_Type,0))*INDEX(Escalators!$I$44:$U$49,MATCH(AQ$4,Escalators!$C$44:$C$49,0),MATCH(AQ$5,Escalators!$I$43:$U$43,0))</f>
        <v>0</v>
      </c>
      <c r="AR11" s="47">
        <f>INDEX(Direct_Cost_Splits_Network,MATCH($H11,RIN_Asset_Cat_Network,0),MATCH($AY$4,Direct_Cost_Type,0))*$L11*INDEX(Act_Type_Augex_Splits,MATCH($I11,Act_Type_Augex,0),MATCH(AR$4,Mat_Type,0))*INDEX(Escalators!$I$44:$U$49,MATCH(AR$4,Escalators!$C$44:$C$49,0),MATCH(AR$5,Escalators!$I$43:$U$43,0))</f>
        <v>0</v>
      </c>
      <c r="AS11" s="47">
        <f t="shared" si="8"/>
        <v>0</v>
      </c>
      <c r="AT11" s="47">
        <f>INDEX(Direct_Cost_Splits_Network,MATCH($H11,RIN_Asset_Cat_Network,0),MATCH($AY$4,Direct_Cost_Type,0))*$M11*INDEX(Act_Type_Augex_Splits,MATCH($I11,Act_Type_Augex,0),MATCH(AT$4,Mat_Type,0))*INDEX(Escalators!$I$44:$U$49,MATCH(AT$4,Escalators!$C$44:$C$49,0),MATCH(AT$5,Escalators!$I$43:$U$43,0))</f>
        <v>11.636303595758367</v>
      </c>
      <c r="AU11" s="47">
        <f>INDEX(Direct_Cost_Splits_Network,MATCH($H11,RIN_Asset_Cat_Network,0),MATCH($AY$4,Direct_Cost_Type,0))*$M11*INDEX(Act_Type_Augex_Splits,MATCH($I11,Act_Type_Augex,0),MATCH(AU$4,Mat_Type,0))*INDEX(Escalators!$I$44:$U$49,MATCH(AU$4,Escalators!$C$44:$C$49,0),MATCH(AU$5,Escalators!$I$43:$U$43,0))</f>
        <v>11.636303595758367</v>
      </c>
      <c r="AV11" s="47">
        <f>INDEX(Direct_Cost_Splits_Network,MATCH($H11,RIN_Asset_Cat_Network,0),MATCH($AY$4,Direct_Cost_Type,0))*$M11*INDEX(Act_Type_Augex_Splits,MATCH($I11,Act_Type_Augex,0),MATCH(AV$4,Mat_Type,0))*INDEX(Escalators!$I$44:$U$49,MATCH(AV$4,Escalators!$C$44:$C$49,0),MATCH(AV$5,Escalators!$I$43:$U$43,0))</f>
        <v>11.636303595758367</v>
      </c>
      <c r="AW11" s="47">
        <f>INDEX(Direct_Cost_Splits_Network,MATCH($H11,RIN_Asset_Cat_Network,0),MATCH($AY$4,Direct_Cost_Type,0))*$M11*INDEX(Act_Type_Augex_Splits,MATCH($I11,Act_Type_Augex,0),MATCH(AW$4,Mat_Type,0))*INDEX(Escalators!$I$44:$U$49,MATCH(AW$4,Escalators!$C$44:$C$49,0),MATCH(AW$5,Escalators!$I$43:$U$43,0))</f>
        <v>0</v>
      </c>
      <c r="AX11" s="47">
        <f>INDEX(Direct_Cost_Splits_Network,MATCH($H11,RIN_Asset_Cat_Network,0),MATCH($AY$4,Direct_Cost_Type,0))*$M11*INDEX(Act_Type_Augex_Splits,MATCH($I11,Act_Type_Augex,0),MATCH(AX$4,Mat_Type,0))*INDEX(Escalators!$I$44:$U$49,MATCH(AX$4,Escalators!$C$44:$C$49,0),MATCH(AX$5,Escalators!$I$43:$U$43,0))</f>
        <v>81.454125170308558</v>
      </c>
      <c r="AY11" s="47">
        <f t="shared" si="9"/>
        <v>116.36303595758366</v>
      </c>
      <c r="AZ11" s="47">
        <f>INDEX(Direct_Cost_Splits_Network,MATCH($H11,RIN_Asset_Cat_Network,0),MATCH($BE$4,Direct_Cost_Type,0))*$N11*INDEX(Act_Type_Augex_Splits,MATCH($I11,Act_Type_Augex,0),MATCH(AZ$4,Mat_Type,0))*INDEX(Escalators!$I$44:$U$49,MATCH(AZ$4,Escalators!$C$44:$C$49,0),MATCH(AZ$5,Escalators!$I$43:$U$43,0))</f>
        <v>0</v>
      </c>
      <c r="BA11" s="47">
        <f>INDEX(Direct_Cost_Splits_Network,MATCH($H11,RIN_Asset_Cat_Network,0),MATCH($BE$4,Direct_Cost_Type,0))*$N11*INDEX(Act_Type_Augex_Splits,MATCH($I11,Act_Type_Augex,0),MATCH(BA$4,Mat_Type,0))*INDEX(Escalators!$I$44:$U$49,MATCH(BA$4,Escalators!$C$44:$C$49,0),MATCH(BA$5,Escalators!$I$43:$U$43,0))</f>
        <v>0</v>
      </c>
      <c r="BB11" s="47">
        <f>INDEX(Direct_Cost_Splits_Network,MATCH($H11,RIN_Asset_Cat_Network,0),MATCH($BE$4,Direct_Cost_Type,0))*$N11*INDEX(Act_Type_Augex_Splits,MATCH($I11,Act_Type_Augex,0),MATCH(BB$4,Mat_Type,0))*INDEX(Escalators!$I$44:$U$49,MATCH(BB$4,Escalators!$C$44:$C$49,0),MATCH(BB$5,Escalators!$I$43:$U$43,0))</f>
        <v>0</v>
      </c>
      <c r="BC11" s="47">
        <f>INDEX(Direct_Cost_Splits_Network,MATCH($H11,RIN_Asset_Cat_Network,0),MATCH($BE$4,Direct_Cost_Type,0))*$N11*INDEX(Act_Type_Augex_Splits,MATCH($I11,Act_Type_Augex,0),MATCH(BC$4,Mat_Type,0))*INDEX(Escalators!$I$44:$U$49,MATCH(BC$4,Escalators!$C$44:$C$49,0),MATCH(BC$5,Escalators!$I$43:$U$43,0))</f>
        <v>0</v>
      </c>
      <c r="BD11" s="47">
        <f>INDEX(Direct_Cost_Splits_Network,MATCH($H11,RIN_Asset_Cat_Network,0),MATCH($BE$4,Direct_Cost_Type,0))*$N11*INDEX(Act_Type_Augex_Splits,MATCH($I11,Act_Type_Augex,0),MATCH(BD$4,Mat_Type,0))*INDEX(Escalators!$I$44:$U$49,MATCH(BD$4,Escalators!$C$44:$C$49,0),MATCH(BD$5,Escalators!$I$43:$U$43,0))</f>
        <v>0</v>
      </c>
      <c r="BE11" s="47">
        <f t="shared" si="10"/>
        <v>0</v>
      </c>
      <c r="BF11" s="47">
        <f>INDEX(Direct_Cost_Splits_Network,MATCH($H11,RIN_Asset_Cat_Network,0),MATCH($BK$4,Direct_Cost_Type,0))*$O11*INDEX(Act_Type_Augex_Splits,MATCH($I11,Act_Type_Augex,0),MATCH(BF$4,Mat_Type,0))*INDEX(Escalators!$I$44:$U$49,MATCH(BF$4,Escalators!$C$44:$C$49,0),MATCH(BF$5,Escalators!$I$43:$U$43,0))</f>
        <v>0</v>
      </c>
      <c r="BG11" s="47">
        <f>INDEX(Direct_Cost_Splits_Network,MATCH($H11,RIN_Asset_Cat_Network,0),MATCH($BK$4,Direct_Cost_Type,0))*$O11*INDEX(Act_Type_Augex_Splits,MATCH($I11,Act_Type_Augex,0),MATCH(BG$4,Mat_Type,0))*INDEX(Escalators!$I$44:$U$49,MATCH(BG$4,Escalators!$C$44:$C$49,0),MATCH(BG$5,Escalators!$I$43:$U$43,0))</f>
        <v>0</v>
      </c>
      <c r="BH11" s="47">
        <f>INDEX(Direct_Cost_Splits_Network,MATCH($H11,RIN_Asset_Cat_Network,0),MATCH($BK$4,Direct_Cost_Type,0))*$O11*INDEX(Act_Type_Augex_Splits,MATCH($I11,Act_Type_Augex,0),MATCH(BH$4,Mat_Type,0))*INDEX(Escalators!$I$44:$U$49,MATCH(BH$4,Escalators!$C$44:$C$49,0),MATCH(BH$5,Escalators!$I$43:$U$43,0))</f>
        <v>0</v>
      </c>
      <c r="BI11" s="47">
        <f>INDEX(Direct_Cost_Splits_Network,MATCH($H11,RIN_Asset_Cat_Network,0),MATCH($BK$4,Direct_Cost_Type,0))*$O11*INDEX(Act_Type_Augex_Splits,MATCH($I11,Act_Type_Augex,0),MATCH(BI$4,Mat_Type,0))*INDEX(Escalators!$I$44:$U$49,MATCH(BI$4,Escalators!$C$44:$C$49,0),MATCH(BI$5,Escalators!$I$43:$U$43,0))</f>
        <v>0</v>
      </c>
      <c r="BJ11" s="47">
        <f>INDEX(Direct_Cost_Splits_Network,MATCH($H11,RIN_Asset_Cat_Network,0),MATCH($BK$4,Direct_Cost_Type,0))*$O11*INDEX(Act_Type_Augex_Splits,MATCH($I11,Act_Type_Augex,0),MATCH(BJ$4,Mat_Type,0))*INDEX(Escalators!$I$44:$U$49,MATCH(BJ$4,Escalators!$C$44:$C$49,0),MATCH(BJ$5,Escalators!$I$43:$U$43,0))</f>
        <v>0</v>
      </c>
      <c r="BK11" s="47">
        <f t="shared" si="11"/>
        <v>0</v>
      </c>
      <c r="BL11" s="47">
        <f>INDEX(Direct_Cost_Splits_Network,MATCH($H11,RIN_Asset_Cat_Network,0),MATCH($BQ$4,Direct_Cost_Type,0))*$P11*INDEX(Act_Type_Augex_Splits,MATCH($I11,Act_Type_Augex,0),MATCH(BL$4,Mat_Type,0))*INDEX(Escalators!$I$44:$U$49,MATCH(BL$4,Escalators!$C$44:$C$49,0),MATCH(BL$5,Escalators!$I$43:$U$43,0))</f>
        <v>0</v>
      </c>
      <c r="BM11" s="47">
        <f>INDEX(Direct_Cost_Splits_Network,MATCH($H11,RIN_Asset_Cat_Network,0),MATCH($BQ$4,Direct_Cost_Type,0))*$P11*INDEX(Act_Type_Augex_Splits,MATCH($I11,Act_Type_Augex,0),MATCH(BM$4,Mat_Type,0))*INDEX(Escalators!$I$44:$U$49,MATCH(BM$4,Escalators!$C$44:$C$49,0),MATCH(BM$5,Escalators!$I$43:$U$43,0))</f>
        <v>0</v>
      </c>
      <c r="BN11" s="47">
        <f>INDEX(Direct_Cost_Splits_Network,MATCH($H11,RIN_Asset_Cat_Network,0),MATCH($BQ$4,Direct_Cost_Type,0))*$P11*INDEX(Act_Type_Augex_Splits,MATCH($I11,Act_Type_Augex,0),MATCH(BN$4,Mat_Type,0))*INDEX(Escalators!$I$44:$U$49,MATCH(BN$4,Escalators!$C$44:$C$49,0),MATCH(BN$5,Escalators!$I$43:$U$43,0))</f>
        <v>0</v>
      </c>
      <c r="BO11" s="47">
        <f>INDEX(Direct_Cost_Splits_Network,MATCH($H11,RIN_Asset_Cat_Network,0),MATCH($BQ$4,Direct_Cost_Type,0))*$P11*INDEX(Act_Type_Augex_Splits,MATCH($I11,Act_Type_Augex,0),MATCH(BO$4,Mat_Type,0))*INDEX(Escalators!$I$44:$U$49,MATCH(BO$4,Escalators!$C$44:$C$49,0),MATCH(BO$5,Escalators!$I$43:$U$43,0))</f>
        <v>0</v>
      </c>
      <c r="BP11" s="47">
        <f>INDEX(Direct_Cost_Splits_Network,MATCH($H11,RIN_Asset_Cat_Network,0),MATCH($BQ$4,Direct_Cost_Type,0))*$P11*INDEX(Act_Type_Augex_Splits,MATCH($I11,Act_Type_Augex,0),MATCH(BP$4,Mat_Type,0))*INDEX(Escalators!$I$44:$U$49,MATCH(BP$4,Escalators!$C$44:$C$49,0),MATCH(BP$5,Escalators!$I$43:$U$43,0))</f>
        <v>0</v>
      </c>
      <c r="BQ11" s="47">
        <f t="shared" si="12"/>
        <v>0</v>
      </c>
      <c r="BR11" s="47">
        <f>INDEX(Direct_Cost_Splits_Network,MATCH($H11,RIN_Asset_Cat_Network,0),MATCH($BW$4,Direct_Cost_Type,0))*$Q11*INDEX(Act_Type_Augex_Splits,MATCH($I11,Act_Type_Augex,0),MATCH(BR$4,Mat_Type,0))*INDEX(Escalators!$I$44:$U$49,MATCH(BR$4,Escalators!$C$44:$C$49,0),MATCH(BR$5,Escalators!$I$43:$U$43,0))</f>
        <v>0</v>
      </c>
      <c r="BS11" s="47">
        <f>INDEX(Direct_Cost_Splits_Network,MATCH($H11,RIN_Asset_Cat_Network,0),MATCH($BW$4,Direct_Cost_Type,0))*$Q11*INDEX(Act_Type_Augex_Splits,MATCH($I11,Act_Type_Augex,0),MATCH(BS$4,Mat_Type,0))*INDEX(Escalators!$I$44:$U$49,MATCH(BS$4,Escalators!$C$44:$C$49,0),MATCH(BS$5,Escalators!$I$43:$U$43,0))</f>
        <v>0</v>
      </c>
      <c r="BT11" s="47">
        <f>INDEX(Direct_Cost_Splits_Network,MATCH($H11,RIN_Asset_Cat_Network,0),MATCH($BW$4,Direct_Cost_Type,0))*$Q11*INDEX(Act_Type_Augex_Splits,MATCH($I11,Act_Type_Augex,0),MATCH(BT$4,Mat_Type,0))*INDEX(Escalators!$I$44:$U$49,MATCH(BT$4,Escalators!$C$44:$C$49,0),MATCH(BT$5,Escalators!$I$43:$U$43,0))</f>
        <v>0</v>
      </c>
      <c r="BU11" s="47">
        <f>INDEX(Direct_Cost_Splits_Network,MATCH($H11,RIN_Asset_Cat_Network,0),MATCH($BW$4,Direct_Cost_Type,0))*$Q11*INDEX(Act_Type_Augex_Splits,MATCH($I11,Act_Type_Augex,0),MATCH(BU$4,Mat_Type,0))*INDEX(Escalators!$I$44:$U$49,MATCH(BU$4,Escalators!$C$44:$C$49,0),MATCH(BU$5,Escalators!$I$43:$U$43,0))</f>
        <v>0</v>
      </c>
      <c r="BV11" s="47">
        <f>INDEX(Direct_Cost_Splits_Network,MATCH($H11,RIN_Asset_Cat_Network,0),MATCH($BW$4,Direct_Cost_Type,0))*$Q11*INDEX(Act_Type_Augex_Splits,MATCH($I11,Act_Type_Augex,0),MATCH(BV$4,Mat_Type,0))*INDEX(Escalators!$I$44:$U$49,MATCH(BV$4,Escalators!$C$44:$C$49,0),MATCH(BV$5,Escalators!$I$43:$U$43,0))</f>
        <v>0</v>
      </c>
      <c r="BW11" s="47">
        <f t="shared" si="13"/>
        <v>0</v>
      </c>
      <c r="BY11" s="47">
        <f>INDEX(Direct_Cost_Splits_Network,MATCH($H11,RIN_Asset_Cat_Network,0),MATCH($BY$4,Direct_Cost_Type,0))*J11*HLOOKUP(BY$5,Escalators!$I$25:$U$30,6,FALSE)</f>
        <v>0</v>
      </c>
      <c r="BZ11" s="47">
        <f>INDEX(Direct_Cost_Splits_Network,MATCH($H11,RIN_Asset_Cat_Network,0),MATCH($BY$4,Direct_Cost_Type,0))*K11*HLOOKUP(BZ$5,Escalators!$I$25:$U$30,6,FALSE)</f>
        <v>0</v>
      </c>
      <c r="CA11" s="47">
        <f>INDEX(Direct_Cost_Splits_Network,MATCH($H11,RIN_Asset_Cat_Network,0),MATCH($BY$4,Direct_Cost_Type,0))*L11*HLOOKUP(CA$5,Escalators!$I$25:$U$30,6,FALSE)</f>
        <v>0</v>
      </c>
      <c r="CB11" s="47">
        <f>INDEX(Direct_Cost_Splits_Network,MATCH($H11,RIN_Asset_Cat_Network,0),MATCH($BY$4,Direct_Cost_Type,0))*M11*HLOOKUP(CB$5,Escalators!$I$25:$U$30,6,FALSE)</f>
        <v>163.75520071015274</v>
      </c>
      <c r="CC11" s="47">
        <f>INDEX(Direct_Cost_Splits_Network,MATCH($H11,RIN_Asset_Cat_Network,0),MATCH($BY$4,Direct_Cost_Type,0))*N11*HLOOKUP(CC$5,Escalators!$I$25:$U$30,6,FALSE)</f>
        <v>0</v>
      </c>
      <c r="CD11" s="47">
        <f>INDEX(Direct_Cost_Splits_Network,MATCH($H11,RIN_Asset_Cat_Network,0),MATCH($BY$4,Direct_Cost_Type,0))*O11*HLOOKUP(CD$5,Escalators!$I$25:$U$30,6,FALSE)</f>
        <v>0</v>
      </c>
      <c r="CE11" s="47">
        <f>INDEX(Direct_Cost_Splits_Network,MATCH($H11,RIN_Asset_Cat_Network,0),MATCH($BY$4,Direct_Cost_Type,0))*P11*HLOOKUP(CE$5,Escalators!$I$25:$U$30,6,FALSE)</f>
        <v>0</v>
      </c>
      <c r="CF11" s="47">
        <f>INDEX(Direct_Cost_Splits_Network,MATCH($H11,RIN_Asset_Cat_Network,0),MATCH($BY$4,Direct_Cost_Type,0))*Q11*HLOOKUP(CF$5,Escalators!$I$25:$U$30,6,FALSE)</f>
        <v>0</v>
      </c>
      <c r="CH11" s="47">
        <f t="shared" si="14"/>
        <v>0</v>
      </c>
      <c r="CI11" s="47">
        <f t="shared" si="14"/>
        <v>0</v>
      </c>
      <c r="CJ11" s="47">
        <f t="shared" si="14"/>
        <v>0</v>
      </c>
      <c r="CK11" s="47">
        <f t="shared" si="14"/>
        <v>43.551598936598594</v>
      </c>
      <c r="CL11" s="47">
        <f t="shared" si="14"/>
        <v>0</v>
      </c>
      <c r="CM11" s="47">
        <f t="shared" si="14"/>
        <v>0</v>
      </c>
      <c r="CN11" s="47">
        <f t="shared" si="14"/>
        <v>0</v>
      </c>
      <c r="CO11" s="47">
        <f t="shared" si="14"/>
        <v>0</v>
      </c>
      <c r="CQ11" s="373">
        <f t="shared" si="15"/>
        <v>0</v>
      </c>
      <c r="CR11" s="47">
        <f t="shared" si="16"/>
        <v>0</v>
      </c>
      <c r="CS11" s="47">
        <f t="shared" si="17"/>
        <v>0</v>
      </c>
      <c r="CT11" s="47">
        <f t="shared" si="18"/>
        <v>383.96054005842143</v>
      </c>
      <c r="CU11" s="47">
        <f t="shared" si="19"/>
        <v>0</v>
      </c>
      <c r="CV11" s="47">
        <f t="shared" si="20"/>
        <v>0</v>
      </c>
      <c r="CW11" s="47">
        <f t="shared" si="21"/>
        <v>0</v>
      </c>
      <c r="CX11" s="47">
        <f t="shared" si="22"/>
        <v>0</v>
      </c>
      <c r="CZ11" s="39"/>
      <c r="DA11" s="39"/>
      <c r="DB11" s="39"/>
      <c r="DC11" s="39"/>
      <c r="DD11" s="39"/>
      <c r="DE11" s="39"/>
    </row>
    <row r="12" spans="1:109" x14ac:dyDescent="0.3">
      <c r="B12" s="7"/>
      <c r="C12" s="7"/>
      <c r="D12" s="7"/>
      <c r="E12" s="7"/>
      <c r="F12" s="7"/>
      <c r="G12" s="7"/>
      <c r="H12" s="7"/>
      <c r="I12" s="7"/>
      <c r="J12" s="45"/>
      <c r="K12" s="45"/>
      <c r="L12" s="45"/>
      <c r="M12" s="45"/>
      <c r="N12" s="45"/>
      <c r="O12" s="45"/>
      <c r="P12" s="45"/>
      <c r="Q12" s="45"/>
      <c r="S12" s="47"/>
      <c r="T12" s="47"/>
      <c r="U12" s="47"/>
      <c r="V12" s="47"/>
      <c r="W12" s="47"/>
      <c r="X12" s="47"/>
      <c r="Y12" s="47"/>
      <c r="Z12" s="47"/>
      <c r="AB12" s="6"/>
      <c r="AC12" s="6"/>
      <c r="AD12" s="6"/>
      <c r="AE12" s="6"/>
      <c r="AF12" s="6"/>
      <c r="AG12" s="47">
        <f t="shared" si="23"/>
        <v>0</v>
      </c>
      <c r="AH12" s="47"/>
      <c r="AI12" s="47"/>
      <c r="AJ12" s="47"/>
      <c r="AK12" s="47"/>
      <c r="AL12" s="47"/>
      <c r="AM12" s="47">
        <f t="shared" si="24"/>
        <v>0</v>
      </c>
      <c r="AN12" s="47"/>
      <c r="AO12" s="47"/>
      <c r="AP12" s="47"/>
      <c r="AQ12" s="47"/>
      <c r="AR12" s="47"/>
      <c r="AS12" s="47">
        <f t="shared" si="8"/>
        <v>0</v>
      </c>
      <c r="AT12" s="47"/>
      <c r="AU12" s="47"/>
      <c r="AV12" s="47"/>
      <c r="AW12" s="47"/>
      <c r="AX12" s="47"/>
      <c r="AY12" s="47">
        <f t="shared" si="9"/>
        <v>0</v>
      </c>
      <c r="AZ12" s="47"/>
      <c r="BA12" s="47"/>
      <c r="BB12" s="47"/>
      <c r="BC12" s="47"/>
      <c r="BD12" s="47"/>
      <c r="BE12" s="47">
        <f t="shared" si="10"/>
        <v>0</v>
      </c>
      <c r="BF12" s="47"/>
      <c r="BG12" s="47"/>
      <c r="BH12" s="47"/>
      <c r="BI12" s="47"/>
      <c r="BJ12" s="47"/>
      <c r="BK12" s="47">
        <f t="shared" si="11"/>
        <v>0</v>
      </c>
      <c r="BL12" s="47"/>
      <c r="BM12" s="47"/>
      <c r="BN12" s="47"/>
      <c r="BO12" s="47"/>
      <c r="BP12" s="47"/>
      <c r="BQ12" s="47">
        <f t="shared" si="12"/>
        <v>0</v>
      </c>
      <c r="BR12" s="47"/>
      <c r="BS12" s="47"/>
      <c r="BT12" s="47"/>
      <c r="BU12" s="47"/>
      <c r="BV12" s="47"/>
      <c r="BW12" s="47">
        <f t="shared" si="13"/>
        <v>0</v>
      </c>
      <c r="BY12" s="47"/>
      <c r="BZ12" s="47"/>
      <c r="CA12" s="47"/>
      <c r="CB12" s="47"/>
      <c r="CC12" s="47"/>
      <c r="CD12" s="47"/>
      <c r="CE12" s="47"/>
      <c r="CF12" s="47"/>
      <c r="CH12" s="47"/>
      <c r="CI12" s="47"/>
      <c r="CJ12" s="47"/>
      <c r="CK12" s="47"/>
      <c r="CL12" s="47"/>
      <c r="CM12" s="47"/>
      <c r="CN12" s="47"/>
      <c r="CO12" s="47"/>
      <c r="CQ12" s="373">
        <f t="shared" si="15"/>
        <v>0</v>
      </c>
      <c r="CR12" s="47">
        <f t="shared" si="16"/>
        <v>0</v>
      </c>
      <c r="CS12" s="47">
        <f t="shared" si="17"/>
        <v>0</v>
      </c>
      <c r="CT12" s="47">
        <f t="shared" si="18"/>
        <v>0</v>
      </c>
      <c r="CU12" s="47">
        <f t="shared" si="19"/>
        <v>0</v>
      </c>
      <c r="CV12" s="47">
        <f t="shared" si="20"/>
        <v>0</v>
      </c>
      <c r="CW12" s="47">
        <f t="shared" si="21"/>
        <v>0</v>
      </c>
      <c r="CX12" s="47">
        <f t="shared" si="22"/>
        <v>0</v>
      </c>
      <c r="CZ12" s="39"/>
      <c r="DA12" s="39"/>
      <c r="DB12" s="39"/>
      <c r="DC12" s="39"/>
      <c r="DD12" s="39"/>
      <c r="DE12" s="39"/>
    </row>
    <row r="13" spans="1:109" x14ac:dyDescent="0.3">
      <c r="B13" s="7" t="s">
        <v>428</v>
      </c>
      <c r="C13" s="7" t="s">
        <v>419</v>
      </c>
      <c r="D13" s="7" t="s">
        <v>428</v>
      </c>
      <c r="E13" s="7" t="s">
        <v>45</v>
      </c>
      <c r="F13" s="7" t="s">
        <v>51</v>
      </c>
      <c r="G13" s="7" t="s">
        <v>10</v>
      </c>
      <c r="H13" s="7" t="s">
        <v>164</v>
      </c>
      <c r="I13" s="7" t="s">
        <v>5</v>
      </c>
      <c r="J13" s="45"/>
      <c r="K13" s="45"/>
      <c r="L13" s="45"/>
      <c r="M13" s="45">
        <v>3840</v>
      </c>
      <c r="N13" s="45">
        <v>3840</v>
      </c>
      <c r="O13" s="45">
        <v>3840</v>
      </c>
      <c r="P13" s="45">
        <v>3840</v>
      </c>
      <c r="Q13" s="45">
        <v>3840</v>
      </c>
      <c r="S13" s="47">
        <f>INDEX(Direct_Cost_Splits_Network,MATCH($H13,RIN_Asset_Cat_Network,0),MATCH($S$4,Direct_Cost_Type,0))*J13*HLOOKUP(S$5,Escalators!$I$25:$U$30,3,FALSE)</f>
        <v>0</v>
      </c>
      <c r="T13" s="47">
        <f>INDEX(Direct_Cost_Splits_Network,MATCH($H13,RIN_Asset_Cat_Network,0),MATCH($S$4,Direct_Cost_Type,0))*K13*HLOOKUP(T$5,Escalators!$I$25:$U$30,3,FALSE)</f>
        <v>0</v>
      </c>
      <c r="U13" s="47">
        <f>INDEX(Direct_Cost_Splits_Network,MATCH($H13,RIN_Asset_Cat_Network,0),MATCH($S$4,Direct_Cost_Type,0))*L13*HLOOKUP(U$5,Escalators!$I$25:$U$30,3,FALSE)</f>
        <v>0</v>
      </c>
      <c r="V13" s="47">
        <f>INDEX(Direct_Cost_Splits_Network,MATCH($H13,RIN_Asset_Cat_Network,0),MATCH($S$4,Direct_Cost_Type,0))*M13*HLOOKUP(V$5,Escalators!$I$25:$U$30,3,FALSE)</f>
        <v>614.42756131553097</v>
      </c>
      <c r="W13" s="47">
        <f>INDEX(Direct_Cost_Splits_Network,MATCH($H13,RIN_Asset_Cat_Network,0),MATCH($S$4,Direct_Cost_Type,0))*N13*HLOOKUP(W$5,Escalators!$I$25:$U$30,3,FALSE)</f>
        <v>620.73168778665956</v>
      </c>
      <c r="X13" s="47">
        <f>INDEX(Direct_Cost_Splits_Network,MATCH($H13,RIN_Asset_Cat_Network,0),MATCH($S$4,Direct_Cost_Type,0))*O13*HLOOKUP(X$5,Escalators!$I$25:$U$30,3,FALSE)</f>
        <v>627.41317225585783</v>
      </c>
      <c r="Y13" s="47">
        <f>INDEX(Direct_Cost_Splits_Network,MATCH($H13,RIN_Asset_Cat_Network,0),MATCH($S$4,Direct_Cost_Type,0))*P13*HLOOKUP(Y$5,Escalators!$I$25:$U$30,3,FALSE)</f>
        <v>633.34552645492113</v>
      </c>
      <c r="Z13" s="47">
        <f>INDEX(Direct_Cost_Splits_Network,MATCH($H13,RIN_Asset_Cat_Network,0),MATCH($S$4,Direct_Cost_Type,0))*Q13*HLOOKUP(Z$5,Escalators!$I$25:$U$30,3,FALSE)</f>
        <v>638.91896708772435</v>
      </c>
      <c r="AB13" s="6">
        <f>INDEX(Direct_Cost_Splits_Network,MATCH($H13,RIN_Asset_Cat_Network,0),MATCH($AG$4,Direct_Cost_Type,0))*$J13*INDEX(Act_Type_Augex_Splits,MATCH($I13,Act_Type_Augex,0),MATCH(AB$4,Mat_Type,0))*INDEX(Escalators!$I$44:$U$49,MATCH(AB$4,Escalators!$C$44:$C$49,0),MATCH(AB$5,Escalators!$I$43:$U$43,0))</f>
        <v>0</v>
      </c>
      <c r="AC13" s="6">
        <f>INDEX(Direct_Cost_Splits_Network,MATCH($H13,RIN_Asset_Cat_Network,0),MATCH($AG$4,Direct_Cost_Type,0))*$J13*INDEX(Act_Type_Augex_Splits,MATCH($I13,Act_Type_Augex,0),MATCH(AC$4,Mat_Type,0))*INDEX(Escalators!$I$44:$U$49,MATCH(AC$4,Escalators!$C$44:$C$49,0),MATCH(AC$5,Escalators!$I$43:$U$43,0))</f>
        <v>0</v>
      </c>
      <c r="AD13" s="6">
        <f>INDEX(Direct_Cost_Splits_Network,MATCH($H13,RIN_Asset_Cat_Network,0),MATCH($AG$4,Direct_Cost_Type,0))*$J13*INDEX(Act_Type_Augex_Splits,MATCH($I13,Act_Type_Augex,0),MATCH(AD$4,Mat_Type,0))*INDEX(Escalators!$I$44:$U$49,MATCH(AD$4,Escalators!$C$44:$C$49,0),MATCH(AD$5,Escalators!$I$43:$U$43,0))</f>
        <v>0</v>
      </c>
      <c r="AE13" s="6">
        <f>INDEX(Direct_Cost_Splits_Network,MATCH($H13,RIN_Asset_Cat_Network,0),MATCH($AG$4,Direct_Cost_Type,0))*$J13*INDEX(Act_Type_Augex_Splits,MATCH($I13,Act_Type_Augex,0),MATCH(AE$4,Mat_Type,0))*INDEX(Escalators!$I$44:$U$49,MATCH(AE$4,Escalators!$C$44:$C$49,0),MATCH(AE$5,Escalators!$I$43:$U$43,0))</f>
        <v>0</v>
      </c>
      <c r="AF13" s="6">
        <f>INDEX(Direct_Cost_Splits_Network,MATCH($H13,RIN_Asset_Cat_Network,0),MATCH($AG$4,Direct_Cost_Type,0))*$J13*INDEX(Act_Type_Augex_Splits,MATCH($I13,Act_Type_Augex,0),MATCH(AF$4,Mat_Type,0))*INDEX(Escalators!$I$44:$U$49,MATCH(AF$4,Escalators!$C$44:$C$49,0),MATCH(AF$5,Escalators!$I$43:$U$43,0))</f>
        <v>0</v>
      </c>
      <c r="AG13" s="47">
        <f t="shared" si="23"/>
        <v>0</v>
      </c>
      <c r="AH13" s="47">
        <f>INDEX(Direct_Cost_Splits_Network,MATCH($H13,RIN_Asset_Cat_Network,0),MATCH($AY$4,Direct_Cost_Type,0))*$K13*INDEX(Act_Type_Augex_Splits,MATCH($I13,Act_Type_Augex,0),MATCH(AH$4,Mat_Type,0))*INDEX(Escalators!$I$44:$U$49,MATCH(AH$4,Escalators!$C$44:$C$49,0),MATCH(AH$5,Escalators!$I$43:$U$43,0))</f>
        <v>0</v>
      </c>
      <c r="AI13" s="47">
        <f>INDEX(Direct_Cost_Splits_Network,MATCH($H13,RIN_Asset_Cat_Network,0),MATCH($AY$4,Direct_Cost_Type,0))*$K13*INDEX(Act_Type_Augex_Splits,MATCH($I13,Act_Type_Augex,0),MATCH(AI$4,Mat_Type,0))*INDEX(Escalators!$I$44:$U$49,MATCH(AI$4,Escalators!$C$44:$C$49,0),MATCH(AI$5,Escalators!$I$43:$U$43,0))</f>
        <v>0</v>
      </c>
      <c r="AJ13" s="47">
        <f>INDEX(Direct_Cost_Splits_Network,MATCH($H13,RIN_Asset_Cat_Network,0),MATCH($AY$4,Direct_Cost_Type,0))*$K13*INDEX(Act_Type_Augex_Splits,MATCH($I13,Act_Type_Augex,0),MATCH(AJ$4,Mat_Type,0))*INDEX(Escalators!$I$44:$U$49,MATCH(AJ$4,Escalators!$C$44:$C$49,0),MATCH(AJ$5,Escalators!$I$43:$U$43,0))</f>
        <v>0</v>
      </c>
      <c r="AK13" s="47">
        <f>INDEX(Direct_Cost_Splits_Network,MATCH($H13,RIN_Asset_Cat_Network,0),MATCH($AY$4,Direct_Cost_Type,0))*$K13*INDEX(Act_Type_Augex_Splits,MATCH($I13,Act_Type_Augex,0),MATCH(AK$4,Mat_Type,0))*INDEX(Escalators!$I$44:$U$49,MATCH(AK$4,Escalators!$C$44:$C$49,0),MATCH(AK$5,Escalators!$I$43:$U$43,0))</f>
        <v>0</v>
      </c>
      <c r="AL13" s="47">
        <f>INDEX(Direct_Cost_Splits_Network,MATCH($H13,RIN_Asset_Cat_Network,0),MATCH($AY$4,Direct_Cost_Type,0))*$K13*INDEX(Act_Type_Augex_Splits,MATCH($I13,Act_Type_Augex,0),MATCH(AL$4,Mat_Type,0))*INDEX(Escalators!$I$44:$U$49,MATCH(AL$4,Escalators!$C$44:$C$49,0),MATCH(AL$5,Escalators!$I$43:$U$43,0))</f>
        <v>0</v>
      </c>
      <c r="AM13" s="47">
        <f t="shared" si="24"/>
        <v>0</v>
      </c>
      <c r="AN13" s="47">
        <f>INDEX(Direct_Cost_Splits_Network,MATCH($H13,RIN_Asset_Cat_Network,0),MATCH($AY$4,Direct_Cost_Type,0))*$L13*INDEX(Act_Type_Augex_Splits,MATCH($I13,Act_Type_Augex,0),MATCH(AN$4,Mat_Type,0))*INDEX(Escalators!$I$44:$U$49,MATCH(AN$4,Escalators!$C$44:$C$49,0),MATCH(AN$5,Escalators!$I$43:$U$43,0))</f>
        <v>0</v>
      </c>
      <c r="AO13" s="47">
        <f>INDEX(Direct_Cost_Splits_Network,MATCH($H13,RIN_Asset_Cat_Network,0),MATCH($AY$4,Direct_Cost_Type,0))*$L13*INDEX(Act_Type_Augex_Splits,MATCH($I13,Act_Type_Augex,0),MATCH(AO$4,Mat_Type,0))*INDEX(Escalators!$I$44:$U$49,MATCH(AO$4,Escalators!$C$44:$C$49,0),MATCH(AO$5,Escalators!$I$43:$U$43,0))</f>
        <v>0</v>
      </c>
      <c r="AP13" s="47">
        <f>INDEX(Direct_Cost_Splits_Network,MATCH($H13,RIN_Asset_Cat_Network,0),MATCH($AY$4,Direct_Cost_Type,0))*$L13*INDEX(Act_Type_Augex_Splits,MATCH($I13,Act_Type_Augex,0),MATCH(AP$4,Mat_Type,0))*INDEX(Escalators!$I$44:$U$49,MATCH(AP$4,Escalators!$C$44:$C$49,0),MATCH(AP$5,Escalators!$I$43:$U$43,0))</f>
        <v>0</v>
      </c>
      <c r="AQ13" s="47">
        <f>INDEX(Direct_Cost_Splits_Network,MATCH($H13,RIN_Asset_Cat_Network,0),MATCH($AY$4,Direct_Cost_Type,0))*$L13*INDEX(Act_Type_Augex_Splits,MATCH($I13,Act_Type_Augex,0),MATCH(AQ$4,Mat_Type,0))*INDEX(Escalators!$I$44:$U$49,MATCH(AQ$4,Escalators!$C$44:$C$49,0),MATCH(AQ$5,Escalators!$I$43:$U$43,0))</f>
        <v>0</v>
      </c>
      <c r="AR13" s="47">
        <f>INDEX(Direct_Cost_Splits_Network,MATCH($H13,RIN_Asset_Cat_Network,0),MATCH($AY$4,Direct_Cost_Type,0))*$L13*INDEX(Act_Type_Augex_Splits,MATCH($I13,Act_Type_Augex,0),MATCH(AR$4,Mat_Type,0))*INDEX(Escalators!$I$44:$U$49,MATCH(AR$4,Escalators!$C$44:$C$49,0),MATCH(AR$5,Escalators!$I$43:$U$43,0))</f>
        <v>0</v>
      </c>
      <c r="AS13" s="47">
        <f t="shared" si="8"/>
        <v>0</v>
      </c>
      <c r="AT13" s="47">
        <f>INDEX(Direct_Cost_Splits_Network,MATCH($H13,RIN_Asset_Cat_Network,0),MATCH($AY$4,Direct_Cost_Type,0))*$M13*INDEX(Act_Type_Augex_Splits,MATCH($I13,Act_Type_Augex,0),MATCH(AT$4,Mat_Type,0))*INDEX(Escalators!$I$44:$U$49,MATCH(AT$4,Escalators!$C$44:$C$49,0),MATCH(AT$5,Escalators!$I$43:$U$43,0))</f>
        <v>118.58653345995791</v>
      </c>
      <c r="AU13" s="47">
        <f>INDEX(Direct_Cost_Splits_Network,MATCH($H13,RIN_Asset_Cat_Network,0),MATCH($AY$4,Direct_Cost_Type,0))*$M13*INDEX(Act_Type_Augex_Splits,MATCH($I13,Act_Type_Augex,0),MATCH(AU$4,Mat_Type,0))*INDEX(Escalators!$I$44:$U$49,MATCH(AU$4,Escalators!$C$44:$C$49,0),MATCH(AU$5,Escalators!$I$43:$U$43,0))</f>
        <v>118.58653345995791</v>
      </c>
      <c r="AV13" s="47">
        <f>INDEX(Direct_Cost_Splits_Network,MATCH($H13,RIN_Asset_Cat_Network,0),MATCH($AY$4,Direct_Cost_Type,0))*$M13*INDEX(Act_Type_Augex_Splits,MATCH($I13,Act_Type_Augex,0),MATCH(AV$4,Mat_Type,0))*INDEX(Escalators!$I$44:$U$49,MATCH(AV$4,Escalators!$C$44:$C$49,0),MATCH(AV$5,Escalators!$I$43:$U$43,0))</f>
        <v>118.58653345995791</v>
      </c>
      <c r="AW13" s="47">
        <f>INDEX(Direct_Cost_Splits_Network,MATCH($H13,RIN_Asset_Cat_Network,0),MATCH($AY$4,Direct_Cost_Type,0))*$M13*INDEX(Act_Type_Augex_Splits,MATCH($I13,Act_Type_Augex,0),MATCH(AW$4,Mat_Type,0))*INDEX(Escalators!$I$44:$U$49,MATCH(AW$4,Escalators!$C$44:$C$49,0),MATCH(AW$5,Escalators!$I$43:$U$43,0))</f>
        <v>0</v>
      </c>
      <c r="AX13" s="47">
        <f>INDEX(Direct_Cost_Splits_Network,MATCH($H13,RIN_Asset_Cat_Network,0),MATCH($AY$4,Direct_Cost_Type,0))*$M13*INDEX(Act_Type_Augex_Splits,MATCH($I13,Act_Type_Augex,0),MATCH(AX$4,Mat_Type,0))*INDEX(Escalators!$I$44:$U$49,MATCH(AX$4,Escalators!$C$44:$C$49,0),MATCH(AX$5,Escalators!$I$43:$U$43,0))</f>
        <v>830.10573421970525</v>
      </c>
      <c r="AY13" s="47">
        <f t="shared" si="9"/>
        <v>1185.865334599579</v>
      </c>
      <c r="AZ13" s="47">
        <f>INDEX(Direct_Cost_Splits_Network,MATCH($H13,RIN_Asset_Cat_Network,0),MATCH($BE$4,Direct_Cost_Type,0))*$N13*INDEX(Act_Type_Augex_Splits,MATCH($I13,Act_Type_Augex,0),MATCH(AZ$4,Mat_Type,0))*INDEX(Escalators!$I$44:$U$49,MATCH(AZ$4,Escalators!$C$44:$C$49,0),MATCH(AZ$5,Escalators!$I$43:$U$43,0))</f>
        <v>118.58653345995791</v>
      </c>
      <c r="BA13" s="47">
        <f>INDEX(Direct_Cost_Splits_Network,MATCH($H13,RIN_Asset_Cat_Network,0),MATCH($BE$4,Direct_Cost_Type,0))*$N13*INDEX(Act_Type_Augex_Splits,MATCH($I13,Act_Type_Augex,0),MATCH(BA$4,Mat_Type,0))*INDEX(Escalators!$I$44:$U$49,MATCH(BA$4,Escalators!$C$44:$C$49,0),MATCH(BA$5,Escalators!$I$43:$U$43,0))</f>
        <v>118.58653345995791</v>
      </c>
      <c r="BB13" s="47">
        <f>INDEX(Direct_Cost_Splits_Network,MATCH($H13,RIN_Asset_Cat_Network,0),MATCH($BE$4,Direct_Cost_Type,0))*$N13*INDEX(Act_Type_Augex_Splits,MATCH($I13,Act_Type_Augex,0),MATCH(BB$4,Mat_Type,0))*INDEX(Escalators!$I$44:$U$49,MATCH(BB$4,Escalators!$C$44:$C$49,0),MATCH(BB$5,Escalators!$I$43:$U$43,0))</f>
        <v>118.58653345995791</v>
      </c>
      <c r="BC13" s="47">
        <f>INDEX(Direct_Cost_Splits_Network,MATCH($H13,RIN_Asset_Cat_Network,0),MATCH($BE$4,Direct_Cost_Type,0))*$N13*INDEX(Act_Type_Augex_Splits,MATCH($I13,Act_Type_Augex,0),MATCH(BC$4,Mat_Type,0))*INDEX(Escalators!$I$44:$U$49,MATCH(BC$4,Escalators!$C$44:$C$49,0),MATCH(BC$5,Escalators!$I$43:$U$43,0))</f>
        <v>0</v>
      </c>
      <c r="BD13" s="47">
        <f>INDEX(Direct_Cost_Splits_Network,MATCH($H13,RIN_Asset_Cat_Network,0),MATCH($BE$4,Direct_Cost_Type,0))*$N13*INDEX(Act_Type_Augex_Splits,MATCH($I13,Act_Type_Augex,0),MATCH(BD$4,Mat_Type,0))*INDEX(Escalators!$I$44:$U$49,MATCH(BD$4,Escalators!$C$44:$C$49,0),MATCH(BD$5,Escalators!$I$43:$U$43,0))</f>
        <v>830.10573421970525</v>
      </c>
      <c r="BE13" s="47">
        <f t="shared" si="10"/>
        <v>1185.865334599579</v>
      </c>
      <c r="BF13" s="47">
        <f>INDEX(Direct_Cost_Splits_Network,MATCH($H13,RIN_Asset_Cat_Network,0),MATCH($BK$4,Direct_Cost_Type,0))*$O13*INDEX(Act_Type_Augex_Splits,MATCH($I13,Act_Type_Augex,0),MATCH(BF$4,Mat_Type,0))*INDEX(Escalators!$I$44:$U$49,MATCH(BF$4,Escalators!$C$44:$C$49,0),MATCH(BF$5,Escalators!$I$43:$U$43,0))</f>
        <v>118.58653345995791</v>
      </c>
      <c r="BG13" s="47">
        <f>INDEX(Direct_Cost_Splits_Network,MATCH($H13,RIN_Asset_Cat_Network,0),MATCH($BK$4,Direct_Cost_Type,0))*$O13*INDEX(Act_Type_Augex_Splits,MATCH($I13,Act_Type_Augex,0),MATCH(BG$4,Mat_Type,0))*INDEX(Escalators!$I$44:$U$49,MATCH(BG$4,Escalators!$C$44:$C$49,0),MATCH(BG$5,Escalators!$I$43:$U$43,0))</f>
        <v>118.58653345995791</v>
      </c>
      <c r="BH13" s="47">
        <f>INDEX(Direct_Cost_Splits_Network,MATCH($H13,RIN_Asset_Cat_Network,0),MATCH($BK$4,Direct_Cost_Type,0))*$O13*INDEX(Act_Type_Augex_Splits,MATCH($I13,Act_Type_Augex,0),MATCH(BH$4,Mat_Type,0))*INDEX(Escalators!$I$44:$U$49,MATCH(BH$4,Escalators!$C$44:$C$49,0),MATCH(BH$5,Escalators!$I$43:$U$43,0))</f>
        <v>118.58653345995791</v>
      </c>
      <c r="BI13" s="47">
        <f>INDEX(Direct_Cost_Splits_Network,MATCH($H13,RIN_Asset_Cat_Network,0),MATCH($BK$4,Direct_Cost_Type,0))*$O13*INDEX(Act_Type_Augex_Splits,MATCH($I13,Act_Type_Augex,0),MATCH(BI$4,Mat_Type,0))*INDEX(Escalators!$I$44:$U$49,MATCH(BI$4,Escalators!$C$44:$C$49,0),MATCH(BI$5,Escalators!$I$43:$U$43,0))</f>
        <v>0</v>
      </c>
      <c r="BJ13" s="47">
        <f>INDEX(Direct_Cost_Splits_Network,MATCH($H13,RIN_Asset_Cat_Network,0),MATCH($BK$4,Direct_Cost_Type,0))*$O13*INDEX(Act_Type_Augex_Splits,MATCH($I13,Act_Type_Augex,0),MATCH(BJ$4,Mat_Type,0))*INDEX(Escalators!$I$44:$U$49,MATCH(BJ$4,Escalators!$C$44:$C$49,0),MATCH(BJ$5,Escalators!$I$43:$U$43,0))</f>
        <v>830.10573421970525</v>
      </c>
      <c r="BK13" s="47">
        <f t="shared" si="11"/>
        <v>1185.865334599579</v>
      </c>
      <c r="BL13" s="47">
        <f>INDEX(Direct_Cost_Splits_Network,MATCH($H13,RIN_Asset_Cat_Network,0),MATCH($BQ$4,Direct_Cost_Type,0))*$P13*INDEX(Act_Type_Augex_Splits,MATCH($I13,Act_Type_Augex,0),MATCH(BL$4,Mat_Type,0))*INDEX(Escalators!$I$44:$U$49,MATCH(BL$4,Escalators!$C$44:$C$49,0),MATCH(BL$5,Escalators!$I$43:$U$43,0))</f>
        <v>118.58653345995791</v>
      </c>
      <c r="BM13" s="47">
        <f>INDEX(Direct_Cost_Splits_Network,MATCH($H13,RIN_Asset_Cat_Network,0),MATCH($BQ$4,Direct_Cost_Type,0))*$P13*INDEX(Act_Type_Augex_Splits,MATCH($I13,Act_Type_Augex,0),MATCH(BM$4,Mat_Type,0))*INDEX(Escalators!$I$44:$U$49,MATCH(BM$4,Escalators!$C$44:$C$49,0),MATCH(BM$5,Escalators!$I$43:$U$43,0))</f>
        <v>118.58653345995791</v>
      </c>
      <c r="BN13" s="47">
        <f>INDEX(Direct_Cost_Splits_Network,MATCH($H13,RIN_Asset_Cat_Network,0),MATCH($BQ$4,Direct_Cost_Type,0))*$P13*INDEX(Act_Type_Augex_Splits,MATCH($I13,Act_Type_Augex,0),MATCH(BN$4,Mat_Type,0))*INDEX(Escalators!$I$44:$U$49,MATCH(BN$4,Escalators!$C$44:$C$49,0),MATCH(BN$5,Escalators!$I$43:$U$43,0))</f>
        <v>118.58653345995791</v>
      </c>
      <c r="BO13" s="47">
        <f>INDEX(Direct_Cost_Splits_Network,MATCH($H13,RIN_Asset_Cat_Network,0),MATCH($BQ$4,Direct_Cost_Type,0))*$P13*INDEX(Act_Type_Augex_Splits,MATCH($I13,Act_Type_Augex,0),MATCH(BO$4,Mat_Type,0))*INDEX(Escalators!$I$44:$U$49,MATCH(BO$4,Escalators!$C$44:$C$49,0),MATCH(BO$5,Escalators!$I$43:$U$43,0))</f>
        <v>0</v>
      </c>
      <c r="BP13" s="47">
        <f>INDEX(Direct_Cost_Splits_Network,MATCH($H13,RIN_Asset_Cat_Network,0),MATCH($BQ$4,Direct_Cost_Type,0))*$P13*INDEX(Act_Type_Augex_Splits,MATCH($I13,Act_Type_Augex,0),MATCH(BP$4,Mat_Type,0))*INDEX(Escalators!$I$44:$U$49,MATCH(BP$4,Escalators!$C$44:$C$49,0),MATCH(BP$5,Escalators!$I$43:$U$43,0))</f>
        <v>830.10573421970525</v>
      </c>
      <c r="BQ13" s="47">
        <f t="shared" si="12"/>
        <v>1185.865334599579</v>
      </c>
      <c r="BR13" s="47">
        <f>INDEX(Direct_Cost_Splits_Network,MATCH($H13,RIN_Asset_Cat_Network,0),MATCH($BW$4,Direct_Cost_Type,0))*$Q13*INDEX(Act_Type_Augex_Splits,MATCH($I13,Act_Type_Augex,0),MATCH(BR$4,Mat_Type,0))*INDEX(Escalators!$I$44:$U$49,MATCH(BR$4,Escalators!$C$44:$C$49,0),MATCH(BR$5,Escalators!$I$43:$U$43,0))</f>
        <v>118.58653345995791</v>
      </c>
      <c r="BS13" s="47">
        <f>INDEX(Direct_Cost_Splits_Network,MATCH($H13,RIN_Asset_Cat_Network,0),MATCH($BW$4,Direct_Cost_Type,0))*$Q13*INDEX(Act_Type_Augex_Splits,MATCH($I13,Act_Type_Augex,0),MATCH(BS$4,Mat_Type,0))*INDEX(Escalators!$I$44:$U$49,MATCH(BS$4,Escalators!$C$44:$C$49,0),MATCH(BS$5,Escalators!$I$43:$U$43,0))</f>
        <v>118.58653345995791</v>
      </c>
      <c r="BT13" s="47">
        <f>INDEX(Direct_Cost_Splits_Network,MATCH($H13,RIN_Asset_Cat_Network,0),MATCH($BW$4,Direct_Cost_Type,0))*$Q13*INDEX(Act_Type_Augex_Splits,MATCH($I13,Act_Type_Augex,0),MATCH(BT$4,Mat_Type,0))*INDEX(Escalators!$I$44:$U$49,MATCH(BT$4,Escalators!$C$44:$C$49,0),MATCH(BT$5,Escalators!$I$43:$U$43,0))</f>
        <v>118.58653345995791</v>
      </c>
      <c r="BU13" s="47">
        <f>INDEX(Direct_Cost_Splits_Network,MATCH($H13,RIN_Asset_Cat_Network,0),MATCH($BW$4,Direct_Cost_Type,0))*$Q13*INDEX(Act_Type_Augex_Splits,MATCH($I13,Act_Type_Augex,0),MATCH(BU$4,Mat_Type,0))*INDEX(Escalators!$I$44:$U$49,MATCH(BU$4,Escalators!$C$44:$C$49,0),MATCH(BU$5,Escalators!$I$43:$U$43,0))</f>
        <v>0</v>
      </c>
      <c r="BV13" s="47">
        <f>INDEX(Direct_Cost_Splits_Network,MATCH($H13,RIN_Asset_Cat_Network,0),MATCH($BW$4,Direct_Cost_Type,0))*$Q13*INDEX(Act_Type_Augex_Splits,MATCH($I13,Act_Type_Augex,0),MATCH(BV$4,Mat_Type,0))*INDEX(Escalators!$I$44:$U$49,MATCH(BV$4,Escalators!$C$44:$C$49,0),MATCH(BV$5,Escalators!$I$43:$U$43,0))</f>
        <v>830.10573421970525</v>
      </c>
      <c r="BW13" s="47">
        <f t="shared" si="13"/>
        <v>1185.865334599579</v>
      </c>
      <c r="BY13" s="47">
        <f>INDEX(Direct_Cost_Splits_Network,MATCH($H13,RIN_Asset_Cat_Network,0),MATCH($BY$4,Direct_Cost_Type,0))*J13*HLOOKUP(BY$5,Escalators!$I$25:$U$30,6,FALSE)</f>
        <v>0</v>
      </c>
      <c r="BZ13" s="47">
        <f>INDEX(Direct_Cost_Splits_Network,MATCH($H13,RIN_Asset_Cat_Network,0),MATCH($BY$4,Direct_Cost_Type,0))*K13*HLOOKUP(BZ$5,Escalators!$I$25:$U$30,6,FALSE)</f>
        <v>0</v>
      </c>
      <c r="CA13" s="47">
        <f>INDEX(Direct_Cost_Splits_Network,MATCH($H13,RIN_Asset_Cat_Network,0),MATCH($BY$4,Direct_Cost_Type,0))*L13*HLOOKUP(CA$5,Escalators!$I$25:$U$30,6,FALSE)</f>
        <v>0</v>
      </c>
      <c r="CB13" s="47">
        <f>INDEX(Direct_Cost_Splits_Network,MATCH($H13,RIN_Asset_Cat_Network,0),MATCH($BY$4,Direct_Cost_Type,0))*M13*HLOOKUP(CB$5,Escalators!$I$25:$U$30,6,FALSE)</f>
        <v>1668.8428097849965</v>
      </c>
      <c r="CC13" s="47">
        <f>INDEX(Direct_Cost_Splits_Network,MATCH($H13,RIN_Asset_Cat_Network,0),MATCH($BY$4,Direct_Cost_Type,0))*N13*HLOOKUP(CC$5,Escalators!$I$25:$U$30,6,FALSE)</f>
        <v>1685.9654077862856</v>
      </c>
      <c r="CD13" s="47">
        <f>INDEX(Direct_Cost_Splits_Network,MATCH($H13,RIN_Asset_Cat_Network,0),MATCH($BY$4,Direct_Cost_Type,0))*O13*HLOOKUP(CD$5,Escalators!$I$25:$U$30,6,FALSE)</f>
        <v>1704.1129454573465</v>
      </c>
      <c r="CE13" s="47">
        <f>INDEX(Direct_Cost_Splits_Network,MATCH($H13,RIN_Asset_Cat_Network,0),MATCH($BY$4,Direct_Cost_Type,0))*P13*HLOOKUP(CE$5,Escalators!$I$25:$U$30,6,FALSE)</f>
        <v>1720.2257751439049</v>
      </c>
      <c r="CF13" s="47">
        <f>INDEX(Direct_Cost_Splits_Network,MATCH($H13,RIN_Asset_Cat_Network,0),MATCH($BY$4,Direct_Cost_Type,0))*Q13*HLOOKUP(CF$5,Escalators!$I$25:$U$30,6,FALSE)</f>
        <v>1735.3637619651713</v>
      </c>
      <c r="CH13" s="47">
        <f t="shared" ref="CH13:CO15" si="25">INDEX(Direct_Cost_Splits_Network,MATCH($H13,RIN_Asset_Cat_Network,0),MATCH($CH$4,Direct_Cost_Type,0))*J13</f>
        <v>0</v>
      </c>
      <c r="CI13" s="47">
        <f t="shared" si="25"/>
        <v>0</v>
      </c>
      <c r="CJ13" s="47">
        <f t="shared" si="25"/>
        <v>0</v>
      </c>
      <c r="CK13" s="47">
        <f t="shared" si="25"/>
        <v>443.83795094622781</v>
      </c>
      <c r="CL13" s="47">
        <f t="shared" si="25"/>
        <v>443.83795094622781</v>
      </c>
      <c r="CM13" s="47">
        <f t="shared" si="25"/>
        <v>443.83795094622781</v>
      </c>
      <c r="CN13" s="47">
        <f t="shared" si="25"/>
        <v>443.83795094622781</v>
      </c>
      <c r="CO13" s="47">
        <f t="shared" si="25"/>
        <v>443.83795094622781</v>
      </c>
      <c r="CQ13" s="373">
        <f t="shared" si="15"/>
        <v>0</v>
      </c>
      <c r="CR13" s="47">
        <f t="shared" si="16"/>
        <v>0</v>
      </c>
      <c r="CS13" s="47">
        <f t="shared" si="17"/>
        <v>0</v>
      </c>
      <c r="CT13" s="47">
        <f t="shared" si="18"/>
        <v>3912.9736566463343</v>
      </c>
      <c r="CU13" s="47">
        <f t="shared" si="19"/>
        <v>3936.4003811187522</v>
      </c>
      <c r="CV13" s="47">
        <f t="shared" si="20"/>
        <v>3961.2294032590112</v>
      </c>
      <c r="CW13" s="47">
        <f t="shared" si="21"/>
        <v>3983.2745871446327</v>
      </c>
      <c r="CX13" s="47">
        <f t="shared" si="22"/>
        <v>4003.9860145987027</v>
      </c>
      <c r="CZ13" s="39"/>
      <c r="DB13" s="39"/>
      <c r="DC13" s="39"/>
      <c r="DD13" s="39"/>
      <c r="DE13" s="39"/>
    </row>
    <row r="14" spans="1:109" x14ac:dyDescent="0.3">
      <c r="B14" s="7" t="s">
        <v>428</v>
      </c>
      <c r="C14" s="7" t="s">
        <v>581</v>
      </c>
      <c r="D14" s="7" t="s">
        <v>428</v>
      </c>
      <c r="E14" s="7" t="s">
        <v>45</v>
      </c>
      <c r="F14" s="7" t="s">
        <v>51</v>
      </c>
      <c r="G14" s="7" t="s">
        <v>10</v>
      </c>
      <c r="H14" s="7" t="s">
        <v>164</v>
      </c>
      <c r="I14" s="7" t="s">
        <v>5</v>
      </c>
      <c r="J14" s="45"/>
      <c r="K14" s="45"/>
      <c r="L14" s="45"/>
      <c r="M14" s="45">
        <v>3780</v>
      </c>
      <c r="N14" s="45">
        <v>3780</v>
      </c>
      <c r="O14" s="45">
        <v>3780</v>
      </c>
      <c r="P14" s="45">
        <v>3780</v>
      </c>
      <c r="Q14" s="45">
        <v>3780</v>
      </c>
      <c r="S14" s="47">
        <f>INDEX(Direct_Cost_Splits_Network,MATCH($H14,RIN_Asset_Cat_Network,0),MATCH($S$4,Direct_Cost_Type,0))*J14*HLOOKUP(S$5,Escalators!$I$25:$U$30,3,FALSE)</f>
        <v>0</v>
      </c>
      <c r="T14" s="47">
        <f>INDEX(Direct_Cost_Splits_Network,MATCH($H14,RIN_Asset_Cat_Network,0),MATCH($S$4,Direct_Cost_Type,0))*K14*HLOOKUP(T$5,Escalators!$I$25:$U$30,3,FALSE)</f>
        <v>0</v>
      </c>
      <c r="U14" s="47">
        <f>INDEX(Direct_Cost_Splits_Network,MATCH($H14,RIN_Asset_Cat_Network,0),MATCH($S$4,Direct_Cost_Type,0))*L14*HLOOKUP(U$5,Escalators!$I$25:$U$30,3,FALSE)</f>
        <v>0</v>
      </c>
      <c r="V14" s="47">
        <f>INDEX(Direct_Cost_Splits_Network,MATCH($H14,RIN_Asset_Cat_Network,0),MATCH($S$4,Direct_Cost_Type,0))*M14*HLOOKUP(V$5,Escalators!$I$25:$U$30,3,FALSE)</f>
        <v>604.82713066997576</v>
      </c>
      <c r="W14" s="47">
        <f>INDEX(Direct_Cost_Splits_Network,MATCH($H14,RIN_Asset_Cat_Network,0),MATCH($S$4,Direct_Cost_Type,0))*N14*HLOOKUP(W$5,Escalators!$I$25:$U$30,3,FALSE)</f>
        <v>611.03275516499298</v>
      </c>
      <c r="X14" s="47">
        <f>INDEX(Direct_Cost_Splits_Network,MATCH($H14,RIN_Asset_Cat_Network,0),MATCH($S$4,Direct_Cost_Type,0))*O14*HLOOKUP(X$5,Escalators!$I$25:$U$30,3,FALSE)</f>
        <v>617.60984143936003</v>
      </c>
      <c r="Y14" s="47">
        <f>INDEX(Direct_Cost_Splits_Network,MATCH($H14,RIN_Asset_Cat_Network,0),MATCH($S$4,Direct_Cost_Type,0))*P14*HLOOKUP(Y$5,Escalators!$I$25:$U$30,3,FALSE)</f>
        <v>623.44950260406301</v>
      </c>
      <c r="Z14" s="47">
        <f>INDEX(Direct_Cost_Splits_Network,MATCH($H14,RIN_Asset_Cat_Network,0),MATCH($S$4,Direct_Cost_Type,0))*Q14*HLOOKUP(Z$5,Escalators!$I$25:$U$30,3,FALSE)</f>
        <v>628.93585822697867</v>
      </c>
      <c r="AB14" s="6">
        <f>INDEX(Direct_Cost_Splits_Network,MATCH($H14,RIN_Asset_Cat_Network,0),MATCH($AG$4,Direct_Cost_Type,0))*$J14*INDEX(Act_Type_Augex_Splits,MATCH($I14,Act_Type_Augex,0),MATCH(AB$4,Mat_Type,0))*INDEX(Escalators!$I$44:$U$49,MATCH(AB$4,Escalators!$C$44:$C$49,0),MATCH(AB$5,Escalators!$I$43:$U$43,0))</f>
        <v>0</v>
      </c>
      <c r="AC14" s="6">
        <f>INDEX(Direct_Cost_Splits_Network,MATCH($H14,RIN_Asset_Cat_Network,0),MATCH($AG$4,Direct_Cost_Type,0))*$J14*INDEX(Act_Type_Augex_Splits,MATCH($I14,Act_Type_Augex,0),MATCH(AC$4,Mat_Type,0))*INDEX(Escalators!$I$44:$U$49,MATCH(AC$4,Escalators!$C$44:$C$49,0),MATCH(AC$5,Escalators!$I$43:$U$43,0))</f>
        <v>0</v>
      </c>
      <c r="AD14" s="6">
        <f>INDEX(Direct_Cost_Splits_Network,MATCH($H14,RIN_Asset_Cat_Network,0),MATCH($AG$4,Direct_Cost_Type,0))*$J14*INDEX(Act_Type_Augex_Splits,MATCH($I14,Act_Type_Augex,0),MATCH(AD$4,Mat_Type,0))*INDEX(Escalators!$I$44:$U$49,MATCH(AD$4,Escalators!$C$44:$C$49,0),MATCH(AD$5,Escalators!$I$43:$U$43,0))</f>
        <v>0</v>
      </c>
      <c r="AE14" s="6">
        <f>INDEX(Direct_Cost_Splits_Network,MATCH($H14,RIN_Asset_Cat_Network,0),MATCH($AG$4,Direct_Cost_Type,0))*$J14*INDEX(Act_Type_Augex_Splits,MATCH($I14,Act_Type_Augex,0),MATCH(AE$4,Mat_Type,0))*INDEX(Escalators!$I$44:$U$49,MATCH(AE$4,Escalators!$C$44:$C$49,0),MATCH(AE$5,Escalators!$I$43:$U$43,0))</f>
        <v>0</v>
      </c>
      <c r="AF14" s="6">
        <f>INDEX(Direct_Cost_Splits_Network,MATCH($H14,RIN_Asset_Cat_Network,0),MATCH($AG$4,Direct_Cost_Type,0))*$J14*INDEX(Act_Type_Augex_Splits,MATCH($I14,Act_Type_Augex,0),MATCH(AF$4,Mat_Type,0))*INDEX(Escalators!$I$44:$U$49,MATCH(AF$4,Escalators!$C$44:$C$49,0),MATCH(AF$5,Escalators!$I$43:$U$43,0))</f>
        <v>0</v>
      </c>
      <c r="AG14" s="47">
        <f t="shared" si="23"/>
        <v>0</v>
      </c>
      <c r="AH14" s="47">
        <f>INDEX(Direct_Cost_Splits_Network,MATCH($H14,RIN_Asset_Cat_Network,0),MATCH($AY$4,Direct_Cost_Type,0))*$K14*INDEX(Act_Type_Augex_Splits,MATCH($I14,Act_Type_Augex,0),MATCH(AH$4,Mat_Type,0))*INDEX(Escalators!$I$44:$U$49,MATCH(AH$4,Escalators!$C$44:$C$49,0),MATCH(AH$5,Escalators!$I$43:$U$43,0))</f>
        <v>0</v>
      </c>
      <c r="AI14" s="47">
        <f>INDEX(Direct_Cost_Splits_Network,MATCH($H14,RIN_Asset_Cat_Network,0),MATCH($AY$4,Direct_Cost_Type,0))*$K14*INDEX(Act_Type_Augex_Splits,MATCH($I14,Act_Type_Augex,0),MATCH(AI$4,Mat_Type,0))*INDEX(Escalators!$I$44:$U$49,MATCH(AI$4,Escalators!$C$44:$C$49,0),MATCH(AI$5,Escalators!$I$43:$U$43,0))</f>
        <v>0</v>
      </c>
      <c r="AJ14" s="47">
        <f>INDEX(Direct_Cost_Splits_Network,MATCH($H14,RIN_Asset_Cat_Network,0),MATCH($AY$4,Direct_Cost_Type,0))*$K14*INDEX(Act_Type_Augex_Splits,MATCH($I14,Act_Type_Augex,0),MATCH(AJ$4,Mat_Type,0))*INDEX(Escalators!$I$44:$U$49,MATCH(AJ$4,Escalators!$C$44:$C$49,0),MATCH(AJ$5,Escalators!$I$43:$U$43,0))</f>
        <v>0</v>
      </c>
      <c r="AK14" s="47">
        <f>INDEX(Direct_Cost_Splits_Network,MATCH($H14,RIN_Asset_Cat_Network,0),MATCH($AY$4,Direct_Cost_Type,0))*$K14*INDEX(Act_Type_Augex_Splits,MATCH($I14,Act_Type_Augex,0),MATCH(AK$4,Mat_Type,0))*INDEX(Escalators!$I$44:$U$49,MATCH(AK$4,Escalators!$C$44:$C$49,0),MATCH(AK$5,Escalators!$I$43:$U$43,0))</f>
        <v>0</v>
      </c>
      <c r="AL14" s="47">
        <f>INDEX(Direct_Cost_Splits_Network,MATCH($H14,RIN_Asset_Cat_Network,0),MATCH($AY$4,Direct_Cost_Type,0))*$K14*INDEX(Act_Type_Augex_Splits,MATCH($I14,Act_Type_Augex,0),MATCH(AL$4,Mat_Type,0))*INDEX(Escalators!$I$44:$U$49,MATCH(AL$4,Escalators!$C$44:$C$49,0),MATCH(AL$5,Escalators!$I$43:$U$43,0))</f>
        <v>0</v>
      </c>
      <c r="AM14" s="47">
        <f t="shared" si="24"/>
        <v>0</v>
      </c>
      <c r="AN14" s="47">
        <f>INDEX(Direct_Cost_Splits_Network,MATCH($H14,RIN_Asset_Cat_Network,0),MATCH($AY$4,Direct_Cost_Type,0))*$L14*INDEX(Act_Type_Augex_Splits,MATCH($I14,Act_Type_Augex,0),MATCH(AN$4,Mat_Type,0))*INDEX(Escalators!$I$44:$U$49,MATCH(AN$4,Escalators!$C$44:$C$49,0),MATCH(AN$5,Escalators!$I$43:$U$43,0))</f>
        <v>0</v>
      </c>
      <c r="AO14" s="47">
        <f>INDEX(Direct_Cost_Splits_Network,MATCH($H14,RIN_Asset_Cat_Network,0),MATCH($AY$4,Direct_Cost_Type,0))*$L14*INDEX(Act_Type_Augex_Splits,MATCH($I14,Act_Type_Augex,0),MATCH(AO$4,Mat_Type,0))*INDEX(Escalators!$I$44:$U$49,MATCH(AO$4,Escalators!$C$44:$C$49,0),MATCH(AO$5,Escalators!$I$43:$U$43,0))</f>
        <v>0</v>
      </c>
      <c r="AP14" s="47">
        <f>INDEX(Direct_Cost_Splits_Network,MATCH($H14,RIN_Asset_Cat_Network,0),MATCH($AY$4,Direct_Cost_Type,0))*$L14*INDEX(Act_Type_Augex_Splits,MATCH($I14,Act_Type_Augex,0),MATCH(AP$4,Mat_Type,0))*INDEX(Escalators!$I$44:$U$49,MATCH(AP$4,Escalators!$C$44:$C$49,0),MATCH(AP$5,Escalators!$I$43:$U$43,0))</f>
        <v>0</v>
      </c>
      <c r="AQ14" s="47">
        <f>INDEX(Direct_Cost_Splits_Network,MATCH($H14,RIN_Asset_Cat_Network,0),MATCH($AY$4,Direct_Cost_Type,0))*$L14*INDEX(Act_Type_Augex_Splits,MATCH($I14,Act_Type_Augex,0),MATCH(AQ$4,Mat_Type,0))*INDEX(Escalators!$I$44:$U$49,MATCH(AQ$4,Escalators!$C$44:$C$49,0),MATCH(AQ$5,Escalators!$I$43:$U$43,0))</f>
        <v>0</v>
      </c>
      <c r="AR14" s="47">
        <f>INDEX(Direct_Cost_Splits_Network,MATCH($H14,RIN_Asset_Cat_Network,0),MATCH($AY$4,Direct_Cost_Type,0))*$L14*INDEX(Act_Type_Augex_Splits,MATCH($I14,Act_Type_Augex,0),MATCH(AR$4,Mat_Type,0))*INDEX(Escalators!$I$44:$U$49,MATCH(AR$4,Escalators!$C$44:$C$49,0),MATCH(AR$5,Escalators!$I$43:$U$43,0))</f>
        <v>0</v>
      </c>
      <c r="AS14" s="47">
        <f t="shared" si="8"/>
        <v>0</v>
      </c>
      <c r="AT14" s="47">
        <f>INDEX(Direct_Cost_Splits_Network,MATCH($H14,RIN_Asset_Cat_Network,0),MATCH($AY$4,Direct_Cost_Type,0))*$M14*INDEX(Act_Type_Augex_Splits,MATCH($I14,Act_Type_Augex,0),MATCH(AT$4,Mat_Type,0))*INDEX(Escalators!$I$44:$U$49,MATCH(AT$4,Escalators!$C$44:$C$49,0),MATCH(AT$5,Escalators!$I$43:$U$43,0))</f>
        <v>116.73361887464606</v>
      </c>
      <c r="AU14" s="47">
        <f>INDEX(Direct_Cost_Splits_Network,MATCH($H14,RIN_Asset_Cat_Network,0),MATCH($AY$4,Direct_Cost_Type,0))*$M14*INDEX(Act_Type_Augex_Splits,MATCH($I14,Act_Type_Augex,0),MATCH(AU$4,Mat_Type,0))*INDEX(Escalators!$I$44:$U$49,MATCH(AU$4,Escalators!$C$44:$C$49,0),MATCH(AU$5,Escalators!$I$43:$U$43,0))</f>
        <v>116.73361887464606</v>
      </c>
      <c r="AV14" s="47">
        <f>INDEX(Direct_Cost_Splits_Network,MATCH($H14,RIN_Asset_Cat_Network,0),MATCH($AY$4,Direct_Cost_Type,0))*$M14*INDEX(Act_Type_Augex_Splits,MATCH($I14,Act_Type_Augex,0),MATCH(AV$4,Mat_Type,0))*INDEX(Escalators!$I$44:$U$49,MATCH(AV$4,Escalators!$C$44:$C$49,0),MATCH(AV$5,Escalators!$I$43:$U$43,0))</f>
        <v>116.73361887464606</v>
      </c>
      <c r="AW14" s="47">
        <f>INDEX(Direct_Cost_Splits_Network,MATCH($H14,RIN_Asset_Cat_Network,0),MATCH($AY$4,Direct_Cost_Type,0))*$M14*INDEX(Act_Type_Augex_Splits,MATCH($I14,Act_Type_Augex,0),MATCH(AW$4,Mat_Type,0))*INDEX(Escalators!$I$44:$U$49,MATCH(AW$4,Escalators!$C$44:$C$49,0),MATCH(AW$5,Escalators!$I$43:$U$43,0))</f>
        <v>0</v>
      </c>
      <c r="AX14" s="47">
        <f>INDEX(Direct_Cost_Splits_Network,MATCH($H14,RIN_Asset_Cat_Network,0),MATCH($AY$4,Direct_Cost_Type,0))*$M14*INDEX(Act_Type_Augex_Splits,MATCH($I14,Act_Type_Augex,0),MATCH(AX$4,Mat_Type,0))*INDEX(Escalators!$I$44:$U$49,MATCH(AX$4,Escalators!$C$44:$C$49,0),MATCH(AX$5,Escalators!$I$43:$U$43,0))</f>
        <v>817.1353321225223</v>
      </c>
      <c r="AY14" s="47">
        <f t="shared" si="9"/>
        <v>1167.3361887464605</v>
      </c>
      <c r="AZ14" s="47">
        <f>INDEX(Direct_Cost_Splits_Network,MATCH($H14,RIN_Asset_Cat_Network,0),MATCH($BE$4,Direct_Cost_Type,0))*$N14*INDEX(Act_Type_Augex_Splits,MATCH($I14,Act_Type_Augex,0),MATCH(AZ$4,Mat_Type,0))*INDEX(Escalators!$I$44:$U$49,MATCH(AZ$4,Escalators!$C$44:$C$49,0),MATCH(AZ$5,Escalators!$I$43:$U$43,0))</f>
        <v>116.73361887464606</v>
      </c>
      <c r="BA14" s="47">
        <f>INDEX(Direct_Cost_Splits_Network,MATCH($H14,RIN_Asset_Cat_Network,0),MATCH($BE$4,Direct_Cost_Type,0))*$N14*INDEX(Act_Type_Augex_Splits,MATCH($I14,Act_Type_Augex,0),MATCH(BA$4,Mat_Type,0))*INDEX(Escalators!$I$44:$U$49,MATCH(BA$4,Escalators!$C$44:$C$49,0),MATCH(BA$5,Escalators!$I$43:$U$43,0))</f>
        <v>116.73361887464606</v>
      </c>
      <c r="BB14" s="47">
        <f>INDEX(Direct_Cost_Splits_Network,MATCH($H14,RIN_Asset_Cat_Network,0),MATCH($BE$4,Direct_Cost_Type,0))*$N14*INDEX(Act_Type_Augex_Splits,MATCH($I14,Act_Type_Augex,0),MATCH(BB$4,Mat_Type,0))*INDEX(Escalators!$I$44:$U$49,MATCH(BB$4,Escalators!$C$44:$C$49,0),MATCH(BB$5,Escalators!$I$43:$U$43,0))</f>
        <v>116.73361887464606</v>
      </c>
      <c r="BC14" s="47">
        <f>INDEX(Direct_Cost_Splits_Network,MATCH($H14,RIN_Asset_Cat_Network,0),MATCH($BE$4,Direct_Cost_Type,0))*$N14*INDEX(Act_Type_Augex_Splits,MATCH($I14,Act_Type_Augex,0),MATCH(BC$4,Mat_Type,0))*INDEX(Escalators!$I$44:$U$49,MATCH(BC$4,Escalators!$C$44:$C$49,0),MATCH(BC$5,Escalators!$I$43:$U$43,0))</f>
        <v>0</v>
      </c>
      <c r="BD14" s="47">
        <f>INDEX(Direct_Cost_Splits_Network,MATCH($H14,RIN_Asset_Cat_Network,0),MATCH($BE$4,Direct_Cost_Type,0))*$N14*INDEX(Act_Type_Augex_Splits,MATCH($I14,Act_Type_Augex,0),MATCH(BD$4,Mat_Type,0))*INDEX(Escalators!$I$44:$U$49,MATCH(BD$4,Escalators!$C$44:$C$49,0),MATCH(BD$5,Escalators!$I$43:$U$43,0))</f>
        <v>817.1353321225223</v>
      </c>
      <c r="BE14" s="47">
        <f t="shared" si="10"/>
        <v>1167.3361887464605</v>
      </c>
      <c r="BF14" s="47">
        <f>INDEX(Direct_Cost_Splits_Network,MATCH($H14,RIN_Asset_Cat_Network,0),MATCH($BK$4,Direct_Cost_Type,0))*$O14*INDEX(Act_Type_Augex_Splits,MATCH($I14,Act_Type_Augex,0),MATCH(BF$4,Mat_Type,0))*INDEX(Escalators!$I$44:$U$49,MATCH(BF$4,Escalators!$C$44:$C$49,0),MATCH(BF$5,Escalators!$I$43:$U$43,0))</f>
        <v>116.73361887464606</v>
      </c>
      <c r="BG14" s="47">
        <f>INDEX(Direct_Cost_Splits_Network,MATCH($H14,RIN_Asset_Cat_Network,0),MATCH($BK$4,Direct_Cost_Type,0))*$O14*INDEX(Act_Type_Augex_Splits,MATCH($I14,Act_Type_Augex,0),MATCH(BG$4,Mat_Type,0))*INDEX(Escalators!$I$44:$U$49,MATCH(BG$4,Escalators!$C$44:$C$49,0),MATCH(BG$5,Escalators!$I$43:$U$43,0))</f>
        <v>116.73361887464606</v>
      </c>
      <c r="BH14" s="47">
        <f>INDEX(Direct_Cost_Splits_Network,MATCH($H14,RIN_Asset_Cat_Network,0),MATCH($BK$4,Direct_Cost_Type,0))*$O14*INDEX(Act_Type_Augex_Splits,MATCH($I14,Act_Type_Augex,0),MATCH(BH$4,Mat_Type,0))*INDEX(Escalators!$I$44:$U$49,MATCH(BH$4,Escalators!$C$44:$C$49,0),MATCH(BH$5,Escalators!$I$43:$U$43,0))</f>
        <v>116.73361887464606</v>
      </c>
      <c r="BI14" s="47">
        <f>INDEX(Direct_Cost_Splits_Network,MATCH($H14,RIN_Asset_Cat_Network,0),MATCH($BK$4,Direct_Cost_Type,0))*$O14*INDEX(Act_Type_Augex_Splits,MATCH($I14,Act_Type_Augex,0),MATCH(BI$4,Mat_Type,0))*INDEX(Escalators!$I$44:$U$49,MATCH(BI$4,Escalators!$C$44:$C$49,0),MATCH(BI$5,Escalators!$I$43:$U$43,0))</f>
        <v>0</v>
      </c>
      <c r="BJ14" s="47">
        <f>INDEX(Direct_Cost_Splits_Network,MATCH($H14,RIN_Asset_Cat_Network,0),MATCH($BK$4,Direct_Cost_Type,0))*$O14*INDEX(Act_Type_Augex_Splits,MATCH($I14,Act_Type_Augex,0),MATCH(BJ$4,Mat_Type,0))*INDEX(Escalators!$I$44:$U$49,MATCH(BJ$4,Escalators!$C$44:$C$49,0),MATCH(BJ$5,Escalators!$I$43:$U$43,0))</f>
        <v>817.1353321225223</v>
      </c>
      <c r="BK14" s="47">
        <f t="shared" si="11"/>
        <v>1167.3361887464605</v>
      </c>
      <c r="BL14" s="47">
        <f>INDEX(Direct_Cost_Splits_Network,MATCH($H14,RIN_Asset_Cat_Network,0),MATCH($BQ$4,Direct_Cost_Type,0))*$P14*INDEX(Act_Type_Augex_Splits,MATCH($I14,Act_Type_Augex,0),MATCH(BL$4,Mat_Type,0))*INDEX(Escalators!$I$44:$U$49,MATCH(BL$4,Escalators!$C$44:$C$49,0),MATCH(BL$5,Escalators!$I$43:$U$43,0))</f>
        <v>116.73361887464606</v>
      </c>
      <c r="BM14" s="47">
        <f>INDEX(Direct_Cost_Splits_Network,MATCH($H14,RIN_Asset_Cat_Network,0),MATCH($BQ$4,Direct_Cost_Type,0))*$P14*INDEX(Act_Type_Augex_Splits,MATCH($I14,Act_Type_Augex,0),MATCH(BM$4,Mat_Type,0))*INDEX(Escalators!$I$44:$U$49,MATCH(BM$4,Escalators!$C$44:$C$49,0),MATCH(BM$5,Escalators!$I$43:$U$43,0))</f>
        <v>116.73361887464606</v>
      </c>
      <c r="BN14" s="47">
        <f>INDEX(Direct_Cost_Splits_Network,MATCH($H14,RIN_Asset_Cat_Network,0),MATCH($BQ$4,Direct_Cost_Type,0))*$P14*INDEX(Act_Type_Augex_Splits,MATCH($I14,Act_Type_Augex,0),MATCH(BN$4,Mat_Type,0))*INDEX(Escalators!$I$44:$U$49,MATCH(BN$4,Escalators!$C$44:$C$49,0),MATCH(BN$5,Escalators!$I$43:$U$43,0))</f>
        <v>116.73361887464606</v>
      </c>
      <c r="BO14" s="47">
        <f>INDEX(Direct_Cost_Splits_Network,MATCH($H14,RIN_Asset_Cat_Network,0),MATCH($BQ$4,Direct_Cost_Type,0))*$P14*INDEX(Act_Type_Augex_Splits,MATCH($I14,Act_Type_Augex,0),MATCH(BO$4,Mat_Type,0))*INDEX(Escalators!$I$44:$U$49,MATCH(BO$4,Escalators!$C$44:$C$49,0),MATCH(BO$5,Escalators!$I$43:$U$43,0))</f>
        <v>0</v>
      </c>
      <c r="BP14" s="47">
        <f>INDEX(Direct_Cost_Splits_Network,MATCH($H14,RIN_Asset_Cat_Network,0),MATCH($BQ$4,Direct_Cost_Type,0))*$P14*INDEX(Act_Type_Augex_Splits,MATCH($I14,Act_Type_Augex,0),MATCH(BP$4,Mat_Type,0))*INDEX(Escalators!$I$44:$U$49,MATCH(BP$4,Escalators!$C$44:$C$49,0),MATCH(BP$5,Escalators!$I$43:$U$43,0))</f>
        <v>817.1353321225223</v>
      </c>
      <c r="BQ14" s="47">
        <f t="shared" si="12"/>
        <v>1167.3361887464605</v>
      </c>
      <c r="BR14" s="47">
        <f>INDEX(Direct_Cost_Splits_Network,MATCH($H14,RIN_Asset_Cat_Network,0),MATCH($BW$4,Direct_Cost_Type,0))*$Q14*INDEX(Act_Type_Augex_Splits,MATCH($I14,Act_Type_Augex,0),MATCH(BR$4,Mat_Type,0))*INDEX(Escalators!$I$44:$U$49,MATCH(BR$4,Escalators!$C$44:$C$49,0),MATCH(BR$5,Escalators!$I$43:$U$43,0))</f>
        <v>116.73361887464606</v>
      </c>
      <c r="BS14" s="47">
        <f>INDEX(Direct_Cost_Splits_Network,MATCH($H14,RIN_Asset_Cat_Network,0),MATCH($BW$4,Direct_Cost_Type,0))*$Q14*INDEX(Act_Type_Augex_Splits,MATCH($I14,Act_Type_Augex,0),MATCH(BS$4,Mat_Type,0))*INDEX(Escalators!$I$44:$U$49,MATCH(BS$4,Escalators!$C$44:$C$49,0),MATCH(BS$5,Escalators!$I$43:$U$43,0))</f>
        <v>116.73361887464606</v>
      </c>
      <c r="BT14" s="47">
        <f>INDEX(Direct_Cost_Splits_Network,MATCH($H14,RIN_Asset_Cat_Network,0),MATCH($BW$4,Direct_Cost_Type,0))*$Q14*INDEX(Act_Type_Augex_Splits,MATCH($I14,Act_Type_Augex,0),MATCH(BT$4,Mat_Type,0))*INDEX(Escalators!$I$44:$U$49,MATCH(BT$4,Escalators!$C$44:$C$49,0),MATCH(BT$5,Escalators!$I$43:$U$43,0))</f>
        <v>116.73361887464606</v>
      </c>
      <c r="BU14" s="47">
        <f>INDEX(Direct_Cost_Splits_Network,MATCH($H14,RIN_Asset_Cat_Network,0),MATCH($BW$4,Direct_Cost_Type,0))*$Q14*INDEX(Act_Type_Augex_Splits,MATCH($I14,Act_Type_Augex,0),MATCH(BU$4,Mat_Type,0))*INDEX(Escalators!$I$44:$U$49,MATCH(BU$4,Escalators!$C$44:$C$49,0),MATCH(BU$5,Escalators!$I$43:$U$43,0))</f>
        <v>0</v>
      </c>
      <c r="BV14" s="47">
        <f>INDEX(Direct_Cost_Splits_Network,MATCH($H14,RIN_Asset_Cat_Network,0),MATCH($BW$4,Direct_Cost_Type,0))*$Q14*INDEX(Act_Type_Augex_Splits,MATCH($I14,Act_Type_Augex,0),MATCH(BV$4,Mat_Type,0))*INDEX(Escalators!$I$44:$U$49,MATCH(BV$4,Escalators!$C$44:$C$49,0),MATCH(BV$5,Escalators!$I$43:$U$43,0))</f>
        <v>817.1353321225223</v>
      </c>
      <c r="BW14" s="47">
        <f t="shared" si="13"/>
        <v>1167.3361887464605</v>
      </c>
      <c r="BY14" s="47">
        <f>INDEX(Direct_Cost_Splits_Network,MATCH($H14,RIN_Asset_Cat_Network,0),MATCH($BY$4,Direct_Cost_Type,0))*J14*HLOOKUP(BY$5,Escalators!$I$25:$U$30,6,FALSE)</f>
        <v>0</v>
      </c>
      <c r="BZ14" s="47">
        <f>INDEX(Direct_Cost_Splits_Network,MATCH($H14,RIN_Asset_Cat_Network,0),MATCH($BY$4,Direct_Cost_Type,0))*K14*HLOOKUP(BZ$5,Escalators!$I$25:$U$30,6,FALSE)</f>
        <v>0</v>
      </c>
      <c r="CA14" s="47">
        <f>INDEX(Direct_Cost_Splits_Network,MATCH($H14,RIN_Asset_Cat_Network,0),MATCH($BY$4,Direct_Cost_Type,0))*L14*HLOOKUP(CA$5,Escalators!$I$25:$U$30,6,FALSE)</f>
        <v>0</v>
      </c>
      <c r="CB14" s="47">
        <f>INDEX(Direct_Cost_Splits_Network,MATCH($H14,RIN_Asset_Cat_Network,0),MATCH($BY$4,Direct_Cost_Type,0))*M14*HLOOKUP(CB$5,Escalators!$I$25:$U$30,6,FALSE)</f>
        <v>1642.7671408821059</v>
      </c>
      <c r="CC14" s="47">
        <f>INDEX(Direct_Cost_Splits_Network,MATCH($H14,RIN_Asset_Cat_Network,0),MATCH($BY$4,Direct_Cost_Type,0))*N14*HLOOKUP(CC$5,Escalators!$I$25:$U$30,6,FALSE)</f>
        <v>1659.6221982896247</v>
      </c>
      <c r="CD14" s="47">
        <f>INDEX(Direct_Cost_Splits_Network,MATCH($H14,RIN_Asset_Cat_Network,0),MATCH($BY$4,Direct_Cost_Type,0))*O14*HLOOKUP(CD$5,Escalators!$I$25:$U$30,6,FALSE)</f>
        <v>1677.4861806845754</v>
      </c>
      <c r="CE14" s="47">
        <f>INDEX(Direct_Cost_Splits_Network,MATCH($H14,RIN_Asset_Cat_Network,0),MATCH($BY$4,Direct_Cost_Type,0))*P14*HLOOKUP(CE$5,Escalators!$I$25:$U$30,6,FALSE)</f>
        <v>1693.3472474072814</v>
      </c>
      <c r="CF14" s="47">
        <f>INDEX(Direct_Cost_Splits_Network,MATCH($H14,RIN_Asset_Cat_Network,0),MATCH($BY$4,Direct_Cost_Type,0))*Q14*HLOOKUP(CF$5,Escalators!$I$25:$U$30,6,FALSE)</f>
        <v>1708.2487031844653</v>
      </c>
      <c r="CH14" s="47">
        <f t="shared" si="25"/>
        <v>0</v>
      </c>
      <c r="CI14" s="47">
        <f t="shared" si="25"/>
        <v>0</v>
      </c>
      <c r="CJ14" s="47">
        <f t="shared" si="25"/>
        <v>0</v>
      </c>
      <c r="CK14" s="47">
        <f t="shared" si="25"/>
        <v>436.90298296269299</v>
      </c>
      <c r="CL14" s="47">
        <f t="shared" si="25"/>
        <v>436.90298296269299</v>
      </c>
      <c r="CM14" s="47">
        <f t="shared" si="25"/>
        <v>436.90298296269299</v>
      </c>
      <c r="CN14" s="47">
        <f t="shared" si="25"/>
        <v>436.90298296269299</v>
      </c>
      <c r="CO14" s="47">
        <f t="shared" si="25"/>
        <v>436.90298296269299</v>
      </c>
      <c r="CQ14" s="373">
        <f t="shared" si="15"/>
        <v>0</v>
      </c>
      <c r="CR14" s="47">
        <f t="shared" si="16"/>
        <v>0</v>
      </c>
      <c r="CS14" s="47">
        <f t="shared" si="17"/>
        <v>0</v>
      </c>
      <c r="CT14" s="47">
        <f t="shared" si="18"/>
        <v>3851.8334432612351</v>
      </c>
      <c r="CU14" s="47">
        <f t="shared" si="19"/>
        <v>3874.8941251637712</v>
      </c>
      <c r="CV14" s="47">
        <f t="shared" si="20"/>
        <v>3899.3351938330889</v>
      </c>
      <c r="CW14" s="47">
        <f t="shared" si="21"/>
        <v>3921.0359217204978</v>
      </c>
      <c r="CX14" s="47">
        <f t="shared" si="22"/>
        <v>3941.4237331205973</v>
      </c>
      <c r="CZ14" s="39"/>
    </row>
    <row r="15" spans="1:109" x14ac:dyDescent="0.3">
      <c r="B15" s="7" t="s">
        <v>428</v>
      </c>
      <c r="C15" s="7" t="s">
        <v>567</v>
      </c>
      <c r="D15" s="7" t="s">
        <v>428</v>
      </c>
      <c r="E15" s="7" t="s">
        <v>48</v>
      </c>
      <c r="F15" s="7" t="s">
        <v>51</v>
      </c>
      <c r="G15" s="7" t="s">
        <v>10</v>
      </c>
      <c r="H15" s="7" t="s">
        <v>154</v>
      </c>
      <c r="I15" s="7" t="s">
        <v>5</v>
      </c>
      <c r="J15" s="45"/>
      <c r="K15" s="45"/>
      <c r="L15" s="45"/>
      <c r="M15" s="45">
        <v>0</v>
      </c>
      <c r="N15" s="45">
        <v>0</v>
      </c>
      <c r="O15" s="45">
        <v>0</v>
      </c>
      <c r="P15" s="45">
        <v>0</v>
      </c>
      <c r="Q15" s="45">
        <v>0</v>
      </c>
      <c r="S15" s="47">
        <f>INDEX(Direct_Cost_Splits_Network,MATCH($H15,RIN_Asset_Cat_Network,0),MATCH($S$4,Direct_Cost_Type,0))*J15*HLOOKUP(S$5,Escalators!$I$25:$U$30,3,FALSE)</f>
        <v>0</v>
      </c>
      <c r="T15" s="47">
        <f>INDEX(Direct_Cost_Splits_Network,MATCH($H15,RIN_Asset_Cat_Network,0),MATCH($S$4,Direct_Cost_Type,0))*K15*HLOOKUP(T$5,Escalators!$I$25:$U$30,3,FALSE)</f>
        <v>0</v>
      </c>
      <c r="U15" s="47">
        <f>INDEX(Direct_Cost_Splits_Network,MATCH($H15,RIN_Asset_Cat_Network,0),MATCH($S$4,Direct_Cost_Type,0))*L15*HLOOKUP(U$5,Escalators!$I$25:$U$30,3,FALSE)</f>
        <v>0</v>
      </c>
      <c r="V15" s="47">
        <f>INDEX(Direct_Cost_Splits_Network,MATCH($H15,RIN_Asset_Cat_Network,0),MATCH($S$4,Direct_Cost_Type,0))*M15*HLOOKUP(V$5,Escalators!$I$25:$U$30,3,FALSE)</f>
        <v>0</v>
      </c>
      <c r="W15" s="47">
        <f>INDEX(Direct_Cost_Splits_Network,MATCH($H15,RIN_Asset_Cat_Network,0),MATCH($S$4,Direct_Cost_Type,0))*N15*HLOOKUP(W$5,Escalators!$I$25:$U$30,3,FALSE)</f>
        <v>0</v>
      </c>
      <c r="X15" s="47">
        <f>INDEX(Direct_Cost_Splits_Network,MATCH($H15,RIN_Asset_Cat_Network,0),MATCH($S$4,Direct_Cost_Type,0))*O15*HLOOKUP(X$5,Escalators!$I$25:$U$30,3,FALSE)</f>
        <v>0</v>
      </c>
      <c r="Y15" s="47">
        <f>INDEX(Direct_Cost_Splits_Network,MATCH($H15,RIN_Asset_Cat_Network,0),MATCH($S$4,Direct_Cost_Type,0))*P15*HLOOKUP(Y$5,Escalators!$I$25:$U$30,3,FALSE)</f>
        <v>0</v>
      </c>
      <c r="Z15" s="47">
        <f>INDEX(Direct_Cost_Splits_Network,MATCH($H15,RIN_Asset_Cat_Network,0),MATCH($S$4,Direct_Cost_Type,0))*Q15*HLOOKUP(Z$5,Escalators!$I$25:$U$30,3,FALSE)</f>
        <v>0</v>
      </c>
      <c r="AB15" s="6">
        <f>INDEX(Direct_Cost_Splits_Network,MATCH($H15,RIN_Asset_Cat_Network,0),MATCH($AG$4,Direct_Cost_Type,0))*$J15*INDEX(Act_Type_Augex_Splits,MATCH($I15,Act_Type_Augex,0),MATCH(AB$4,Mat_Type,0))*INDEX(Escalators!$I$44:$U$49,MATCH(AB$4,Escalators!$C$44:$C$49,0),MATCH(AB$5,Escalators!$I$43:$U$43,0))</f>
        <v>0</v>
      </c>
      <c r="AC15" s="6">
        <f>INDEX(Direct_Cost_Splits_Network,MATCH($H15,RIN_Asset_Cat_Network,0),MATCH($AG$4,Direct_Cost_Type,0))*$J15*INDEX(Act_Type_Augex_Splits,MATCH($I15,Act_Type_Augex,0),MATCH(AC$4,Mat_Type,0))*INDEX(Escalators!$I$44:$U$49,MATCH(AC$4,Escalators!$C$44:$C$49,0),MATCH(AC$5,Escalators!$I$43:$U$43,0))</f>
        <v>0</v>
      </c>
      <c r="AD15" s="6">
        <f>INDEX(Direct_Cost_Splits_Network,MATCH($H15,RIN_Asset_Cat_Network,0),MATCH($AG$4,Direct_Cost_Type,0))*$J15*INDEX(Act_Type_Augex_Splits,MATCH($I15,Act_Type_Augex,0),MATCH(AD$4,Mat_Type,0))*INDEX(Escalators!$I$44:$U$49,MATCH(AD$4,Escalators!$C$44:$C$49,0),MATCH(AD$5,Escalators!$I$43:$U$43,0))</f>
        <v>0</v>
      </c>
      <c r="AE15" s="6">
        <f>INDEX(Direct_Cost_Splits_Network,MATCH($H15,RIN_Asset_Cat_Network,0),MATCH($AG$4,Direct_Cost_Type,0))*$J15*INDEX(Act_Type_Augex_Splits,MATCH($I15,Act_Type_Augex,0),MATCH(AE$4,Mat_Type,0))*INDEX(Escalators!$I$44:$U$49,MATCH(AE$4,Escalators!$C$44:$C$49,0),MATCH(AE$5,Escalators!$I$43:$U$43,0))</f>
        <v>0</v>
      </c>
      <c r="AF15" s="6">
        <f>INDEX(Direct_Cost_Splits_Network,MATCH($H15,RIN_Asset_Cat_Network,0),MATCH($AG$4,Direct_Cost_Type,0))*$J15*INDEX(Act_Type_Augex_Splits,MATCH($I15,Act_Type_Augex,0),MATCH(AF$4,Mat_Type,0))*INDEX(Escalators!$I$44:$U$49,MATCH(AF$4,Escalators!$C$44:$C$49,0),MATCH(AF$5,Escalators!$I$43:$U$43,0))</f>
        <v>0</v>
      </c>
      <c r="AG15" s="47">
        <f t="shared" si="23"/>
        <v>0</v>
      </c>
      <c r="AH15" s="47">
        <f>INDEX(Direct_Cost_Splits_Network,MATCH($H15,RIN_Asset_Cat_Network,0),MATCH($AY$4,Direct_Cost_Type,0))*$K15*INDEX(Act_Type_Augex_Splits,MATCH($I15,Act_Type_Augex,0),MATCH(AH$4,Mat_Type,0))*INDEX(Escalators!$I$44:$U$49,MATCH(AH$4,Escalators!$C$44:$C$49,0),MATCH(AH$5,Escalators!$I$43:$U$43,0))</f>
        <v>0</v>
      </c>
      <c r="AI15" s="47">
        <f>INDEX(Direct_Cost_Splits_Network,MATCH($H15,RIN_Asset_Cat_Network,0),MATCH($AY$4,Direct_Cost_Type,0))*$K15*INDEX(Act_Type_Augex_Splits,MATCH($I15,Act_Type_Augex,0),MATCH(AI$4,Mat_Type,0))*INDEX(Escalators!$I$44:$U$49,MATCH(AI$4,Escalators!$C$44:$C$49,0),MATCH(AI$5,Escalators!$I$43:$U$43,0))</f>
        <v>0</v>
      </c>
      <c r="AJ15" s="47">
        <f>INDEX(Direct_Cost_Splits_Network,MATCH($H15,RIN_Asset_Cat_Network,0),MATCH($AY$4,Direct_Cost_Type,0))*$K15*INDEX(Act_Type_Augex_Splits,MATCH($I15,Act_Type_Augex,0),MATCH(AJ$4,Mat_Type,0))*INDEX(Escalators!$I$44:$U$49,MATCH(AJ$4,Escalators!$C$44:$C$49,0),MATCH(AJ$5,Escalators!$I$43:$U$43,0))</f>
        <v>0</v>
      </c>
      <c r="AK15" s="47">
        <f>INDEX(Direct_Cost_Splits_Network,MATCH($H15,RIN_Asset_Cat_Network,0),MATCH($AY$4,Direct_Cost_Type,0))*$K15*INDEX(Act_Type_Augex_Splits,MATCH($I15,Act_Type_Augex,0),MATCH(AK$4,Mat_Type,0))*INDEX(Escalators!$I$44:$U$49,MATCH(AK$4,Escalators!$C$44:$C$49,0),MATCH(AK$5,Escalators!$I$43:$U$43,0))</f>
        <v>0</v>
      </c>
      <c r="AL15" s="47">
        <f>INDEX(Direct_Cost_Splits_Network,MATCH($H15,RIN_Asset_Cat_Network,0),MATCH($AY$4,Direct_Cost_Type,0))*$K15*INDEX(Act_Type_Augex_Splits,MATCH($I15,Act_Type_Augex,0),MATCH(AL$4,Mat_Type,0))*INDEX(Escalators!$I$44:$U$49,MATCH(AL$4,Escalators!$C$44:$C$49,0),MATCH(AL$5,Escalators!$I$43:$U$43,0))</f>
        <v>0</v>
      </c>
      <c r="AM15" s="47">
        <f t="shared" si="24"/>
        <v>0</v>
      </c>
      <c r="AN15" s="47">
        <f>INDEX(Direct_Cost_Splits_Network,MATCH($H15,RIN_Asset_Cat_Network,0),MATCH($AY$4,Direct_Cost_Type,0))*$L15*INDEX(Act_Type_Augex_Splits,MATCH($I15,Act_Type_Augex,0),MATCH(AN$4,Mat_Type,0))*INDEX(Escalators!$I$44:$U$49,MATCH(AN$4,Escalators!$C$44:$C$49,0),MATCH(AN$5,Escalators!$I$43:$U$43,0))</f>
        <v>0</v>
      </c>
      <c r="AO15" s="47">
        <f>INDEX(Direct_Cost_Splits_Network,MATCH($H15,RIN_Asset_Cat_Network,0),MATCH($AY$4,Direct_Cost_Type,0))*$L15*INDEX(Act_Type_Augex_Splits,MATCH($I15,Act_Type_Augex,0),MATCH(AO$4,Mat_Type,0))*INDEX(Escalators!$I$44:$U$49,MATCH(AO$4,Escalators!$C$44:$C$49,0),MATCH(AO$5,Escalators!$I$43:$U$43,0))</f>
        <v>0</v>
      </c>
      <c r="AP15" s="47">
        <f>INDEX(Direct_Cost_Splits_Network,MATCH($H15,RIN_Asset_Cat_Network,0),MATCH($AY$4,Direct_Cost_Type,0))*$L15*INDEX(Act_Type_Augex_Splits,MATCH($I15,Act_Type_Augex,0),MATCH(AP$4,Mat_Type,0))*INDEX(Escalators!$I$44:$U$49,MATCH(AP$4,Escalators!$C$44:$C$49,0),MATCH(AP$5,Escalators!$I$43:$U$43,0))</f>
        <v>0</v>
      </c>
      <c r="AQ15" s="47">
        <f>INDEX(Direct_Cost_Splits_Network,MATCH($H15,RIN_Asset_Cat_Network,0),MATCH($AY$4,Direct_Cost_Type,0))*$L15*INDEX(Act_Type_Augex_Splits,MATCH($I15,Act_Type_Augex,0),MATCH(AQ$4,Mat_Type,0))*INDEX(Escalators!$I$44:$U$49,MATCH(AQ$4,Escalators!$C$44:$C$49,0),MATCH(AQ$5,Escalators!$I$43:$U$43,0))</f>
        <v>0</v>
      </c>
      <c r="AR15" s="47">
        <f>INDEX(Direct_Cost_Splits_Network,MATCH($H15,RIN_Asset_Cat_Network,0),MATCH($AY$4,Direct_Cost_Type,0))*$L15*INDEX(Act_Type_Augex_Splits,MATCH($I15,Act_Type_Augex,0),MATCH(AR$4,Mat_Type,0))*INDEX(Escalators!$I$44:$U$49,MATCH(AR$4,Escalators!$C$44:$C$49,0),MATCH(AR$5,Escalators!$I$43:$U$43,0))</f>
        <v>0</v>
      </c>
      <c r="AS15" s="47">
        <f t="shared" si="8"/>
        <v>0</v>
      </c>
      <c r="AT15" s="47">
        <f>INDEX(Direct_Cost_Splits_Network,MATCH($H15,RIN_Asset_Cat_Network,0),MATCH($AY$4,Direct_Cost_Type,0))*$M15*INDEX(Act_Type_Augex_Splits,MATCH($I15,Act_Type_Augex,0),MATCH(AT$4,Mat_Type,0))*INDEX(Escalators!$I$44:$U$49,MATCH(AT$4,Escalators!$C$44:$C$49,0),MATCH(AT$5,Escalators!$I$43:$U$43,0))</f>
        <v>0</v>
      </c>
      <c r="AU15" s="47">
        <f>INDEX(Direct_Cost_Splits_Network,MATCH($H15,RIN_Asset_Cat_Network,0),MATCH($AY$4,Direct_Cost_Type,0))*$M15*INDEX(Act_Type_Augex_Splits,MATCH($I15,Act_Type_Augex,0),MATCH(AU$4,Mat_Type,0))*INDEX(Escalators!$I$44:$U$49,MATCH(AU$4,Escalators!$C$44:$C$49,0),MATCH(AU$5,Escalators!$I$43:$U$43,0))</f>
        <v>0</v>
      </c>
      <c r="AV15" s="47">
        <f>INDEX(Direct_Cost_Splits_Network,MATCH($H15,RIN_Asset_Cat_Network,0),MATCH($AY$4,Direct_Cost_Type,0))*$M15*INDEX(Act_Type_Augex_Splits,MATCH($I15,Act_Type_Augex,0),MATCH(AV$4,Mat_Type,0))*INDEX(Escalators!$I$44:$U$49,MATCH(AV$4,Escalators!$C$44:$C$49,0),MATCH(AV$5,Escalators!$I$43:$U$43,0))</f>
        <v>0</v>
      </c>
      <c r="AW15" s="47">
        <f>INDEX(Direct_Cost_Splits_Network,MATCH($H15,RIN_Asset_Cat_Network,0),MATCH($AY$4,Direct_Cost_Type,0))*$M15*INDEX(Act_Type_Augex_Splits,MATCH($I15,Act_Type_Augex,0),MATCH(AW$4,Mat_Type,0))*INDEX(Escalators!$I$44:$U$49,MATCH(AW$4,Escalators!$C$44:$C$49,0),MATCH(AW$5,Escalators!$I$43:$U$43,0))</f>
        <v>0</v>
      </c>
      <c r="AX15" s="47">
        <f>INDEX(Direct_Cost_Splits_Network,MATCH($H15,RIN_Asset_Cat_Network,0),MATCH($AY$4,Direct_Cost_Type,0))*$M15*INDEX(Act_Type_Augex_Splits,MATCH($I15,Act_Type_Augex,0),MATCH(AX$4,Mat_Type,0))*INDEX(Escalators!$I$44:$U$49,MATCH(AX$4,Escalators!$C$44:$C$49,0),MATCH(AX$5,Escalators!$I$43:$U$43,0))</f>
        <v>0</v>
      </c>
      <c r="AY15" s="47">
        <f t="shared" si="9"/>
        <v>0</v>
      </c>
      <c r="AZ15" s="47">
        <f>INDEX(Direct_Cost_Splits_Network,MATCH($H15,RIN_Asset_Cat_Network,0),MATCH($BE$4,Direct_Cost_Type,0))*$N15*INDEX(Act_Type_Augex_Splits,MATCH($I15,Act_Type_Augex,0),MATCH(AZ$4,Mat_Type,0))*INDEX(Escalators!$I$44:$U$49,MATCH(AZ$4,Escalators!$C$44:$C$49,0),MATCH(AZ$5,Escalators!$I$43:$U$43,0))</f>
        <v>0</v>
      </c>
      <c r="BA15" s="47">
        <f>INDEX(Direct_Cost_Splits_Network,MATCH($H15,RIN_Asset_Cat_Network,0),MATCH($BE$4,Direct_Cost_Type,0))*$N15*INDEX(Act_Type_Augex_Splits,MATCH($I15,Act_Type_Augex,0),MATCH(BA$4,Mat_Type,0))*INDEX(Escalators!$I$44:$U$49,MATCH(BA$4,Escalators!$C$44:$C$49,0),MATCH(BA$5,Escalators!$I$43:$U$43,0))</f>
        <v>0</v>
      </c>
      <c r="BB15" s="47">
        <f>INDEX(Direct_Cost_Splits_Network,MATCH($H15,RIN_Asset_Cat_Network,0),MATCH($BE$4,Direct_Cost_Type,0))*$N15*INDEX(Act_Type_Augex_Splits,MATCH($I15,Act_Type_Augex,0),MATCH(BB$4,Mat_Type,0))*INDEX(Escalators!$I$44:$U$49,MATCH(BB$4,Escalators!$C$44:$C$49,0),MATCH(BB$5,Escalators!$I$43:$U$43,0))</f>
        <v>0</v>
      </c>
      <c r="BC15" s="47">
        <f>INDEX(Direct_Cost_Splits_Network,MATCH($H15,RIN_Asset_Cat_Network,0),MATCH($BE$4,Direct_Cost_Type,0))*$N15*INDEX(Act_Type_Augex_Splits,MATCH($I15,Act_Type_Augex,0),MATCH(BC$4,Mat_Type,0))*INDEX(Escalators!$I$44:$U$49,MATCH(BC$4,Escalators!$C$44:$C$49,0),MATCH(BC$5,Escalators!$I$43:$U$43,0))</f>
        <v>0</v>
      </c>
      <c r="BD15" s="47">
        <f>INDEX(Direct_Cost_Splits_Network,MATCH($H15,RIN_Asset_Cat_Network,0),MATCH($BE$4,Direct_Cost_Type,0))*$N15*INDEX(Act_Type_Augex_Splits,MATCH($I15,Act_Type_Augex,0),MATCH(BD$4,Mat_Type,0))*INDEX(Escalators!$I$44:$U$49,MATCH(BD$4,Escalators!$C$44:$C$49,0),MATCH(BD$5,Escalators!$I$43:$U$43,0))</f>
        <v>0</v>
      </c>
      <c r="BE15" s="47">
        <f t="shared" si="10"/>
        <v>0</v>
      </c>
      <c r="BF15" s="47">
        <f>INDEX(Direct_Cost_Splits_Network,MATCH($H15,RIN_Asset_Cat_Network,0),MATCH($BK$4,Direct_Cost_Type,0))*$O15*INDEX(Act_Type_Augex_Splits,MATCH($I15,Act_Type_Augex,0),MATCH(BF$4,Mat_Type,0))*INDEX(Escalators!$I$44:$U$49,MATCH(BF$4,Escalators!$C$44:$C$49,0),MATCH(BF$5,Escalators!$I$43:$U$43,0))</f>
        <v>0</v>
      </c>
      <c r="BG15" s="47">
        <f>INDEX(Direct_Cost_Splits_Network,MATCH($H15,RIN_Asset_Cat_Network,0),MATCH($BK$4,Direct_Cost_Type,0))*$O15*INDEX(Act_Type_Augex_Splits,MATCH($I15,Act_Type_Augex,0),MATCH(BG$4,Mat_Type,0))*INDEX(Escalators!$I$44:$U$49,MATCH(BG$4,Escalators!$C$44:$C$49,0),MATCH(BG$5,Escalators!$I$43:$U$43,0))</f>
        <v>0</v>
      </c>
      <c r="BH15" s="47">
        <f>INDEX(Direct_Cost_Splits_Network,MATCH($H15,RIN_Asset_Cat_Network,0),MATCH($BK$4,Direct_Cost_Type,0))*$O15*INDEX(Act_Type_Augex_Splits,MATCH($I15,Act_Type_Augex,0),MATCH(BH$4,Mat_Type,0))*INDEX(Escalators!$I$44:$U$49,MATCH(BH$4,Escalators!$C$44:$C$49,0),MATCH(BH$5,Escalators!$I$43:$U$43,0))</f>
        <v>0</v>
      </c>
      <c r="BI15" s="47">
        <f>INDEX(Direct_Cost_Splits_Network,MATCH($H15,RIN_Asset_Cat_Network,0),MATCH($BK$4,Direct_Cost_Type,0))*$O15*INDEX(Act_Type_Augex_Splits,MATCH($I15,Act_Type_Augex,0),MATCH(BI$4,Mat_Type,0))*INDEX(Escalators!$I$44:$U$49,MATCH(BI$4,Escalators!$C$44:$C$49,0),MATCH(BI$5,Escalators!$I$43:$U$43,0))</f>
        <v>0</v>
      </c>
      <c r="BJ15" s="47">
        <f>INDEX(Direct_Cost_Splits_Network,MATCH($H15,RIN_Asset_Cat_Network,0),MATCH($BK$4,Direct_Cost_Type,0))*$O15*INDEX(Act_Type_Augex_Splits,MATCH($I15,Act_Type_Augex,0),MATCH(BJ$4,Mat_Type,0))*INDEX(Escalators!$I$44:$U$49,MATCH(BJ$4,Escalators!$C$44:$C$49,0),MATCH(BJ$5,Escalators!$I$43:$U$43,0))</f>
        <v>0</v>
      </c>
      <c r="BK15" s="47">
        <f t="shared" si="11"/>
        <v>0</v>
      </c>
      <c r="BL15" s="47">
        <f>INDEX(Direct_Cost_Splits_Network,MATCH($H15,RIN_Asset_Cat_Network,0),MATCH($BQ$4,Direct_Cost_Type,0))*$P15*INDEX(Act_Type_Augex_Splits,MATCH($I15,Act_Type_Augex,0),MATCH(BL$4,Mat_Type,0))*INDEX(Escalators!$I$44:$U$49,MATCH(BL$4,Escalators!$C$44:$C$49,0),MATCH(BL$5,Escalators!$I$43:$U$43,0))</f>
        <v>0</v>
      </c>
      <c r="BM15" s="47">
        <f>INDEX(Direct_Cost_Splits_Network,MATCH($H15,RIN_Asset_Cat_Network,0),MATCH($BQ$4,Direct_Cost_Type,0))*$P15*INDEX(Act_Type_Augex_Splits,MATCH($I15,Act_Type_Augex,0),MATCH(BM$4,Mat_Type,0))*INDEX(Escalators!$I$44:$U$49,MATCH(BM$4,Escalators!$C$44:$C$49,0),MATCH(BM$5,Escalators!$I$43:$U$43,0))</f>
        <v>0</v>
      </c>
      <c r="BN15" s="47">
        <f>INDEX(Direct_Cost_Splits_Network,MATCH($H15,RIN_Asset_Cat_Network,0),MATCH($BQ$4,Direct_Cost_Type,0))*$P15*INDEX(Act_Type_Augex_Splits,MATCH($I15,Act_Type_Augex,0),MATCH(BN$4,Mat_Type,0))*INDEX(Escalators!$I$44:$U$49,MATCH(BN$4,Escalators!$C$44:$C$49,0),MATCH(BN$5,Escalators!$I$43:$U$43,0))</f>
        <v>0</v>
      </c>
      <c r="BO15" s="47">
        <f>INDEX(Direct_Cost_Splits_Network,MATCH($H15,RIN_Asset_Cat_Network,0),MATCH($BQ$4,Direct_Cost_Type,0))*$P15*INDEX(Act_Type_Augex_Splits,MATCH($I15,Act_Type_Augex,0),MATCH(BO$4,Mat_Type,0))*INDEX(Escalators!$I$44:$U$49,MATCH(BO$4,Escalators!$C$44:$C$49,0),MATCH(BO$5,Escalators!$I$43:$U$43,0))</f>
        <v>0</v>
      </c>
      <c r="BP15" s="47">
        <f>INDEX(Direct_Cost_Splits_Network,MATCH($H15,RIN_Asset_Cat_Network,0),MATCH($BQ$4,Direct_Cost_Type,0))*$P15*INDEX(Act_Type_Augex_Splits,MATCH($I15,Act_Type_Augex,0),MATCH(BP$4,Mat_Type,0))*INDEX(Escalators!$I$44:$U$49,MATCH(BP$4,Escalators!$C$44:$C$49,0),MATCH(BP$5,Escalators!$I$43:$U$43,0))</f>
        <v>0</v>
      </c>
      <c r="BQ15" s="47">
        <f t="shared" si="12"/>
        <v>0</v>
      </c>
      <c r="BR15" s="47">
        <f>INDEX(Direct_Cost_Splits_Network,MATCH($H15,RIN_Asset_Cat_Network,0),MATCH($BW$4,Direct_Cost_Type,0))*$Q15*INDEX(Act_Type_Augex_Splits,MATCH($I15,Act_Type_Augex,0),MATCH(BR$4,Mat_Type,0))*INDEX(Escalators!$I$44:$U$49,MATCH(BR$4,Escalators!$C$44:$C$49,0),MATCH(BR$5,Escalators!$I$43:$U$43,0))</f>
        <v>0</v>
      </c>
      <c r="BS15" s="47">
        <f>INDEX(Direct_Cost_Splits_Network,MATCH($H15,RIN_Asset_Cat_Network,0),MATCH($BW$4,Direct_Cost_Type,0))*$Q15*INDEX(Act_Type_Augex_Splits,MATCH($I15,Act_Type_Augex,0),MATCH(BS$4,Mat_Type,0))*INDEX(Escalators!$I$44:$U$49,MATCH(BS$4,Escalators!$C$44:$C$49,0),MATCH(BS$5,Escalators!$I$43:$U$43,0))</f>
        <v>0</v>
      </c>
      <c r="BT15" s="47">
        <f>INDEX(Direct_Cost_Splits_Network,MATCH($H15,RIN_Asset_Cat_Network,0),MATCH($BW$4,Direct_Cost_Type,0))*$Q15*INDEX(Act_Type_Augex_Splits,MATCH($I15,Act_Type_Augex,0),MATCH(BT$4,Mat_Type,0))*INDEX(Escalators!$I$44:$U$49,MATCH(BT$4,Escalators!$C$44:$C$49,0),MATCH(BT$5,Escalators!$I$43:$U$43,0))</f>
        <v>0</v>
      </c>
      <c r="BU15" s="47">
        <f>INDEX(Direct_Cost_Splits_Network,MATCH($H15,RIN_Asset_Cat_Network,0),MATCH($BW$4,Direct_Cost_Type,0))*$Q15*INDEX(Act_Type_Augex_Splits,MATCH($I15,Act_Type_Augex,0),MATCH(BU$4,Mat_Type,0))*INDEX(Escalators!$I$44:$U$49,MATCH(BU$4,Escalators!$C$44:$C$49,0),MATCH(BU$5,Escalators!$I$43:$U$43,0))</f>
        <v>0</v>
      </c>
      <c r="BV15" s="47">
        <f>INDEX(Direct_Cost_Splits_Network,MATCH($H15,RIN_Asset_Cat_Network,0),MATCH($BW$4,Direct_Cost_Type,0))*$Q15*INDEX(Act_Type_Augex_Splits,MATCH($I15,Act_Type_Augex,0),MATCH(BV$4,Mat_Type,0))*INDEX(Escalators!$I$44:$U$49,MATCH(BV$4,Escalators!$C$44:$C$49,0),MATCH(BV$5,Escalators!$I$43:$U$43,0))</f>
        <v>0</v>
      </c>
      <c r="BW15" s="47">
        <f t="shared" si="13"/>
        <v>0</v>
      </c>
      <c r="BY15" s="47">
        <f>INDEX(Direct_Cost_Splits_Network,MATCH($H15,RIN_Asset_Cat_Network,0),MATCH($BY$4,Direct_Cost_Type,0))*J15*HLOOKUP(BY$5,Escalators!$I$25:$U$30,6,FALSE)</f>
        <v>0</v>
      </c>
      <c r="BZ15" s="47">
        <f>INDEX(Direct_Cost_Splits_Network,MATCH($H15,RIN_Asset_Cat_Network,0),MATCH($BY$4,Direct_Cost_Type,0))*K15*HLOOKUP(BZ$5,Escalators!$I$25:$U$30,6,FALSE)</f>
        <v>0</v>
      </c>
      <c r="CA15" s="47">
        <f>INDEX(Direct_Cost_Splits_Network,MATCH($H15,RIN_Asset_Cat_Network,0),MATCH($BY$4,Direct_Cost_Type,0))*L15*HLOOKUP(CA$5,Escalators!$I$25:$U$30,6,FALSE)</f>
        <v>0</v>
      </c>
      <c r="CB15" s="47">
        <f>INDEX(Direct_Cost_Splits_Network,MATCH($H15,RIN_Asset_Cat_Network,0),MATCH($BY$4,Direct_Cost_Type,0))*M15*HLOOKUP(CB$5,Escalators!$I$25:$U$30,6,FALSE)</f>
        <v>0</v>
      </c>
      <c r="CC15" s="47">
        <f>INDEX(Direct_Cost_Splits_Network,MATCH($H15,RIN_Asset_Cat_Network,0),MATCH($BY$4,Direct_Cost_Type,0))*N15*HLOOKUP(CC$5,Escalators!$I$25:$U$30,6,FALSE)</f>
        <v>0</v>
      </c>
      <c r="CD15" s="47">
        <f>INDEX(Direct_Cost_Splits_Network,MATCH($H15,RIN_Asset_Cat_Network,0),MATCH($BY$4,Direct_Cost_Type,0))*O15*HLOOKUP(CD$5,Escalators!$I$25:$U$30,6,FALSE)</f>
        <v>0</v>
      </c>
      <c r="CE15" s="47">
        <f>INDEX(Direct_Cost_Splits_Network,MATCH($H15,RIN_Asset_Cat_Network,0),MATCH($BY$4,Direct_Cost_Type,0))*P15*HLOOKUP(CE$5,Escalators!$I$25:$U$30,6,FALSE)</f>
        <v>0</v>
      </c>
      <c r="CF15" s="47">
        <f>INDEX(Direct_Cost_Splits_Network,MATCH($H15,RIN_Asset_Cat_Network,0),MATCH($BY$4,Direct_Cost_Type,0))*Q15*HLOOKUP(CF$5,Escalators!$I$25:$U$30,6,FALSE)</f>
        <v>0</v>
      </c>
      <c r="CH15" s="47">
        <f t="shared" si="25"/>
        <v>0</v>
      </c>
      <c r="CI15" s="47">
        <f t="shared" si="25"/>
        <v>0</v>
      </c>
      <c r="CJ15" s="47">
        <f t="shared" si="25"/>
        <v>0</v>
      </c>
      <c r="CK15" s="47">
        <f t="shared" si="25"/>
        <v>0</v>
      </c>
      <c r="CL15" s="47">
        <f t="shared" si="25"/>
        <v>0</v>
      </c>
      <c r="CM15" s="47">
        <f t="shared" si="25"/>
        <v>0</v>
      </c>
      <c r="CN15" s="47">
        <f t="shared" si="25"/>
        <v>0</v>
      </c>
      <c r="CO15" s="47">
        <f t="shared" si="25"/>
        <v>0</v>
      </c>
      <c r="CQ15" s="373">
        <f t="shared" si="15"/>
        <v>0</v>
      </c>
      <c r="CR15" s="47">
        <f t="shared" si="16"/>
        <v>0</v>
      </c>
      <c r="CS15" s="47">
        <f t="shared" si="17"/>
        <v>0</v>
      </c>
      <c r="CT15" s="47">
        <f t="shared" si="18"/>
        <v>0</v>
      </c>
      <c r="CU15" s="47">
        <f t="shared" si="19"/>
        <v>0</v>
      </c>
      <c r="CV15" s="47">
        <f t="shared" si="20"/>
        <v>0</v>
      </c>
      <c r="CW15" s="47">
        <f t="shared" si="21"/>
        <v>0</v>
      </c>
      <c r="CX15" s="47">
        <f t="shared" si="22"/>
        <v>0</v>
      </c>
      <c r="CZ15" s="39"/>
    </row>
    <row r="16" spans="1:109"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6"/>
      <c r="AC16" s="6"/>
      <c r="AD16" s="6"/>
      <c r="AE16" s="6"/>
      <c r="AF16" s="6"/>
      <c r="AG16" s="47">
        <f t="shared" si="23"/>
        <v>0</v>
      </c>
      <c r="AH16" s="47"/>
      <c r="AI16" s="47"/>
      <c r="AJ16" s="47"/>
      <c r="AK16" s="47"/>
      <c r="AL16" s="47"/>
      <c r="AM16" s="47">
        <f t="shared" si="24"/>
        <v>0</v>
      </c>
      <c r="AN16" s="47"/>
      <c r="AO16" s="47"/>
      <c r="AP16" s="47"/>
      <c r="AQ16" s="47"/>
      <c r="AR16" s="47"/>
      <c r="AS16" s="47">
        <f t="shared" si="8"/>
        <v>0</v>
      </c>
      <c r="AT16" s="47"/>
      <c r="AU16" s="47"/>
      <c r="AV16" s="47"/>
      <c r="AW16" s="47"/>
      <c r="AX16" s="47"/>
      <c r="AY16" s="47">
        <f t="shared" si="9"/>
        <v>0</v>
      </c>
      <c r="AZ16" s="47"/>
      <c r="BA16" s="47"/>
      <c r="BB16" s="47"/>
      <c r="BC16" s="47"/>
      <c r="BD16" s="47"/>
      <c r="BE16" s="47">
        <f t="shared" si="10"/>
        <v>0</v>
      </c>
      <c r="BF16" s="47"/>
      <c r="BG16" s="47"/>
      <c r="BH16" s="47"/>
      <c r="BI16" s="47"/>
      <c r="BJ16" s="47"/>
      <c r="BK16" s="47">
        <f t="shared" si="11"/>
        <v>0</v>
      </c>
      <c r="BL16" s="47"/>
      <c r="BM16" s="47"/>
      <c r="BN16" s="47"/>
      <c r="BO16" s="47"/>
      <c r="BP16" s="47"/>
      <c r="BQ16" s="47">
        <f t="shared" si="12"/>
        <v>0</v>
      </c>
      <c r="BR16" s="47"/>
      <c r="BS16" s="47"/>
      <c r="BT16" s="47"/>
      <c r="BU16" s="47"/>
      <c r="BV16" s="47"/>
      <c r="BW16" s="47">
        <f t="shared" si="13"/>
        <v>0</v>
      </c>
      <c r="BY16" s="47"/>
      <c r="BZ16" s="47"/>
      <c r="CA16" s="47"/>
      <c r="CB16" s="47"/>
      <c r="CC16" s="47"/>
      <c r="CD16" s="47"/>
      <c r="CE16" s="47"/>
      <c r="CF16" s="47"/>
      <c r="CH16" s="47"/>
      <c r="CI16" s="47"/>
      <c r="CJ16" s="47"/>
      <c r="CK16" s="47"/>
      <c r="CL16" s="47"/>
      <c r="CM16" s="47"/>
      <c r="CN16" s="47"/>
      <c r="CO16" s="47"/>
      <c r="CQ16" s="373">
        <f t="shared" si="15"/>
        <v>0</v>
      </c>
      <c r="CR16" s="47">
        <f t="shared" si="16"/>
        <v>0</v>
      </c>
      <c r="CS16" s="47">
        <f t="shared" si="17"/>
        <v>0</v>
      </c>
      <c r="CT16" s="47">
        <f t="shared" si="18"/>
        <v>0</v>
      </c>
      <c r="CU16" s="47">
        <f t="shared" si="19"/>
        <v>0</v>
      </c>
      <c r="CV16" s="47">
        <f t="shared" si="20"/>
        <v>0</v>
      </c>
      <c r="CW16" s="47">
        <f t="shared" si="21"/>
        <v>0</v>
      </c>
      <c r="CX16" s="47">
        <f t="shared" si="22"/>
        <v>0</v>
      </c>
      <c r="CZ16" s="39"/>
    </row>
    <row r="17" spans="2:104" x14ac:dyDescent="0.3">
      <c r="B17" s="7" t="s">
        <v>429</v>
      </c>
      <c r="C17" s="7" t="s">
        <v>420</v>
      </c>
      <c r="D17" s="7" t="s">
        <v>542</v>
      </c>
      <c r="E17" s="7" t="s">
        <v>45</v>
      </c>
      <c r="F17" s="7" t="s">
        <v>51</v>
      </c>
      <c r="G17" s="7" t="s">
        <v>10</v>
      </c>
      <c r="H17" s="7" t="s">
        <v>164</v>
      </c>
      <c r="I17" s="7" t="s">
        <v>214</v>
      </c>
      <c r="J17" s="45"/>
      <c r="K17" s="45"/>
      <c r="L17" s="45"/>
      <c r="M17" s="45"/>
      <c r="N17" s="45"/>
      <c r="O17" s="45"/>
      <c r="P17" s="45"/>
      <c r="Q17" s="45"/>
      <c r="S17" s="47">
        <f>INDEX(Direct_Cost_Splits_Network,MATCH($H17,RIN_Asset_Cat_Network,0),MATCH($S$4,Direct_Cost_Type,0))*J17*HLOOKUP(S$5,Escalators!$I$25:$U$30,3,FALSE)</f>
        <v>0</v>
      </c>
      <c r="T17" s="47">
        <f>INDEX(Direct_Cost_Splits_Network,MATCH($H17,RIN_Asset_Cat_Network,0),MATCH($S$4,Direct_Cost_Type,0))*K17*HLOOKUP(T$5,Escalators!$I$25:$U$30,3,FALSE)</f>
        <v>0</v>
      </c>
      <c r="U17" s="47">
        <f>INDEX(Direct_Cost_Splits_Network,MATCH($H17,RIN_Asset_Cat_Network,0),MATCH($S$4,Direct_Cost_Type,0))*L17*HLOOKUP(U$5,Escalators!$I$25:$U$30,3,FALSE)</f>
        <v>0</v>
      </c>
      <c r="V17" s="47">
        <f>INDEX(Direct_Cost_Splits_Network,MATCH($H17,RIN_Asset_Cat_Network,0),MATCH($S$4,Direct_Cost_Type,0))*M17*HLOOKUP(V$5,Escalators!$I$25:$U$30,3,FALSE)</f>
        <v>0</v>
      </c>
      <c r="W17" s="47">
        <f>INDEX(Direct_Cost_Splits_Network,MATCH($H17,RIN_Asset_Cat_Network,0),MATCH($S$4,Direct_Cost_Type,0))*N17*HLOOKUP(W$5,Escalators!$I$25:$U$30,3,FALSE)</f>
        <v>0</v>
      </c>
      <c r="X17" s="47">
        <f>INDEX(Direct_Cost_Splits_Network,MATCH($H17,RIN_Asset_Cat_Network,0),MATCH($S$4,Direct_Cost_Type,0))*O17*HLOOKUP(X$5,Escalators!$I$25:$U$30,3,FALSE)</f>
        <v>0</v>
      </c>
      <c r="Y17" s="47">
        <f>INDEX(Direct_Cost_Splits_Network,MATCH($H17,RIN_Asset_Cat_Network,0),MATCH($S$4,Direct_Cost_Type,0))*P17*HLOOKUP(Y$5,Escalators!$I$25:$U$30,3,FALSE)</f>
        <v>0</v>
      </c>
      <c r="Z17" s="47">
        <f>INDEX(Direct_Cost_Splits_Network,MATCH($H17,RIN_Asset_Cat_Network,0),MATCH($S$4,Direct_Cost_Type,0))*Q17*HLOOKUP(Z$5,Escalators!$I$25:$U$30,3,FALSE)</f>
        <v>0</v>
      </c>
      <c r="AB17" s="6">
        <f>INDEX(Direct_Cost_Splits_Network,MATCH($H17,RIN_Asset_Cat_Network,0),MATCH($AG$4,Direct_Cost_Type,0))*$J17*INDEX(Act_Type_Augex_Splits,MATCH($I17,Act_Type_Augex,0),MATCH(AB$4,Mat_Type,0))*INDEX(Escalators!$I$44:$U$49,MATCH(AB$4,Escalators!$C$44:$C$49,0),MATCH(AB$5,Escalators!$I$43:$U$43,0))</f>
        <v>0</v>
      </c>
      <c r="AC17" s="6">
        <f>INDEX(Direct_Cost_Splits_Network,MATCH($H17,RIN_Asset_Cat_Network,0),MATCH($AG$4,Direct_Cost_Type,0))*$J17*INDEX(Act_Type_Augex_Splits,MATCH($I17,Act_Type_Augex,0),MATCH(AC$4,Mat_Type,0))*INDEX(Escalators!$I$44:$U$49,MATCH(AC$4,Escalators!$C$44:$C$49,0),MATCH(AC$5,Escalators!$I$43:$U$43,0))</f>
        <v>0</v>
      </c>
      <c r="AD17" s="6">
        <f>INDEX(Direct_Cost_Splits_Network,MATCH($H17,RIN_Asset_Cat_Network,0),MATCH($AG$4,Direct_Cost_Type,0))*$J17*INDEX(Act_Type_Augex_Splits,MATCH($I17,Act_Type_Augex,0),MATCH(AD$4,Mat_Type,0))*INDEX(Escalators!$I$44:$U$49,MATCH(AD$4,Escalators!$C$44:$C$49,0),MATCH(AD$5,Escalators!$I$43:$U$43,0))</f>
        <v>0</v>
      </c>
      <c r="AE17" s="6">
        <f>INDEX(Direct_Cost_Splits_Network,MATCH($H17,RIN_Asset_Cat_Network,0),MATCH($AG$4,Direct_Cost_Type,0))*$J17*INDEX(Act_Type_Augex_Splits,MATCH($I17,Act_Type_Augex,0),MATCH(AE$4,Mat_Type,0))*INDEX(Escalators!$I$44:$U$49,MATCH(AE$4,Escalators!$C$44:$C$49,0),MATCH(AE$5,Escalators!$I$43:$U$43,0))</f>
        <v>0</v>
      </c>
      <c r="AF17" s="6">
        <f>INDEX(Direct_Cost_Splits_Network,MATCH($H17,RIN_Asset_Cat_Network,0),MATCH($AG$4,Direct_Cost_Type,0))*$J17*INDEX(Act_Type_Augex_Splits,MATCH($I17,Act_Type_Augex,0),MATCH(AF$4,Mat_Type,0))*INDEX(Escalators!$I$44:$U$49,MATCH(AF$4,Escalators!$C$44:$C$49,0),MATCH(AF$5,Escalators!$I$43:$U$43,0))</f>
        <v>0</v>
      </c>
      <c r="AG17" s="47">
        <f t="shared" si="23"/>
        <v>0</v>
      </c>
      <c r="AH17" s="47">
        <f>INDEX(Direct_Cost_Splits_Network,MATCH($H17,RIN_Asset_Cat_Network,0),MATCH($AY$4,Direct_Cost_Type,0))*$K17*INDEX(Act_Type_Augex_Splits,MATCH($I17,Act_Type_Augex,0),MATCH(AH$4,Mat_Type,0))*INDEX(Escalators!$I$44:$U$49,MATCH(AH$4,Escalators!$C$44:$C$49,0),MATCH(AH$5,Escalators!$I$43:$U$43,0))</f>
        <v>0</v>
      </c>
      <c r="AI17" s="47">
        <f>INDEX(Direct_Cost_Splits_Network,MATCH($H17,RIN_Asset_Cat_Network,0),MATCH($AY$4,Direct_Cost_Type,0))*$K17*INDEX(Act_Type_Augex_Splits,MATCH($I17,Act_Type_Augex,0),MATCH(AI$4,Mat_Type,0))*INDEX(Escalators!$I$44:$U$49,MATCH(AI$4,Escalators!$C$44:$C$49,0),MATCH(AI$5,Escalators!$I$43:$U$43,0))</f>
        <v>0</v>
      </c>
      <c r="AJ17" s="47">
        <f>INDEX(Direct_Cost_Splits_Network,MATCH($H17,RIN_Asset_Cat_Network,0),MATCH($AY$4,Direct_Cost_Type,0))*$K17*INDEX(Act_Type_Augex_Splits,MATCH($I17,Act_Type_Augex,0),MATCH(AJ$4,Mat_Type,0))*INDEX(Escalators!$I$44:$U$49,MATCH(AJ$4,Escalators!$C$44:$C$49,0),MATCH(AJ$5,Escalators!$I$43:$U$43,0))</f>
        <v>0</v>
      </c>
      <c r="AK17" s="47">
        <f>INDEX(Direct_Cost_Splits_Network,MATCH($H17,RIN_Asset_Cat_Network,0),MATCH($AY$4,Direct_Cost_Type,0))*$K17*INDEX(Act_Type_Augex_Splits,MATCH($I17,Act_Type_Augex,0),MATCH(AK$4,Mat_Type,0))*INDEX(Escalators!$I$44:$U$49,MATCH(AK$4,Escalators!$C$44:$C$49,0),MATCH(AK$5,Escalators!$I$43:$U$43,0))</f>
        <v>0</v>
      </c>
      <c r="AL17" s="47">
        <f>INDEX(Direct_Cost_Splits_Network,MATCH($H17,RIN_Asset_Cat_Network,0),MATCH($AY$4,Direct_Cost_Type,0))*$K17*INDEX(Act_Type_Augex_Splits,MATCH($I17,Act_Type_Augex,0),MATCH(AL$4,Mat_Type,0))*INDEX(Escalators!$I$44:$U$49,MATCH(AL$4,Escalators!$C$44:$C$49,0),MATCH(AL$5,Escalators!$I$43:$U$43,0))</f>
        <v>0</v>
      </c>
      <c r="AM17" s="47">
        <f t="shared" si="24"/>
        <v>0</v>
      </c>
      <c r="AN17" s="47">
        <f>INDEX(Direct_Cost_Splits_Network,MATCH($H17,RIN_Asset_Cat_Network,0),MATCH($AY$4,Direct_Cost_Type,0))*$L17*INDEX(Act_Type_Augex_Splits,MATCH($I17,Act_Type_Augex,0),MATCH(AN$4,Mat_Type,0))*INDEX(Escalators!$I$44:$U$49,MATCH(AN$4,Escalators!$C$44:$C$49,0),MATCH(AN$5,Escalators!$I$43:$U$43,0))</f>
        <v>0</v>
      </c>
      <c r="AO17" s="47">
        <f>INDEX(Direct_Cost_Splits_Network,MATCH($H17,RIN_Asset_Cat_Network,0),MATCH($AY$4,Direct_Cost_Type,0))*$L17*INDEX(Act_Type_Augex_Splits,MATCH($I17,Act_Type_Augex,0),MATCH(AO$4,Mat_Type,0))*INDEX(Escalators!$I$44:$U$49,MATCH(AO$4,Escalators!$C$44:$C$49,0),MATCH(AO$5,Escalators!$I$43:$U$43,0))</f>
        <v>0</v>
      </c>
      <c r="AP17" s="47">
        <f>INDEX(Direct_Cost_Splits_Network,MATCH($H17,RIN_Asset_Cat_Network,0),MATCH($AY$4,Direct_Cost_Type,0))*$L17*INDEX(Act_Type_Augex_Splits,MATCH($I17,Act_Type_Augex,0),MATCH(AP$4,Mat_Type,0))*INDEX(Escalators!$I$44:$U$49,MATCH(AP$4,Escalators!$C$44:$C$49,0),MATCH(AP$5,Escalators!$I$43:$U$43,0))</f>
        <v>0</v>
      </c>
      <c r="AQ17" s="47">
        <f>INDEX(Direct_Cost_Splits_Network,MATCH($H17,RIN_Asset_Cat_Network,0),MATCH($AY$4,Direct_Cost_Type,0))*$L17*INDEX(Act_Type_Augex_Splits,MATCH($I17,Act_Type_Augex,0),MATCH(AQ$4,Mat_Type,0))*INDEX(Escalators!$I$44:$U$49,MATCH(AQ$4,Escalators!$C$44:$C$49,0),MATCH(AQ$5,Escalators!$I$43:$U$43,0))</f>
        <v>0</v>
      </c>
      <c r="AR17" s="47">
        <f>INDEX(Direct_Cost_Splits_Network,MATCH($H17,RIN_Asset_Cat_Network,0),MATCH($AY$4,Direct_Cost_Type,0))*$L17*INDEX(Act_Type_Augex_Splits,MATCH($I17,Act_Type_Augex,0),MATCH(AR$4,Mat_Type,0))*INDEX(Escalators!$I$44:$U$49,MATCH(AR$4,Escalators!$C$44:$C$49,0),MATCH(AR$5,Escalators!$I$43:$U$43,0))</f>
        <v>0</v>
      </c>
      <c r="AS17" s="47">
        <f t="shared" si="8"/>
        <v>0</v>
      </c>
      <c r="AT17" s="47">
        <f>INDEX(Direct_Cost_Splits_Network,MATCH($H17,RIN_Asset_Cat_Network,0),MATCH($AY$4,Direct_Cost_Type,0))*$M17*INDEX(Act_Type_Augex_Splits,MATCH($I17,Act_Type_Augex,0),MATCH(AT$4,Mat_Type,0))*INDEX(Escalators!$I$44:$U$49,MATCH(AT$4,Escalators!$C$44:$C$49,0),MATCH(AT$5,Escalators!$I$43:$U$43,0))</f>
        <v>0</v>
      </c>
      <c r="AU17" s="47">
        <f>INDEX(Direct_Cost_Splits_Network,MATCH($H17,RIN_Asset_Cat_Network,0),MATCH($AY$4,Direct_Cost_Type,0))*$M17*INDEX(Act_Type_Augex_Splits,MATCH($I17,Act_Type_Augex,0),MATCH(AU$4,Mat_Type,0))*INDEX(Escalators!$I$44:$U$49,MATCH(AU$4,Escalators!$C$44:$C$49,0),MATCH(AU$5,Escalators!$I$43:$U$43,0))</f>
        <v>0</v>
      </c>
      <c r="AV17" s="47">
        <f>INDEX(Direct_Cost_Splits_Network,MATCH($H17,RIN_Asset_Cat_Network,0),MATCH($AY$4,Direct_Cost_Type,0))*$M17*INDEX(Act_Type_Augex_Splits,MATCH($I17,Act_Type_Augex,0),MATCH(AV$4,Mat_Type,0))*INDEX(Escalators!$I$44:$U$49,MATCH(AV$4,Escalators!$C$44:$C$49,0),MATCH(AV$5,Escalators!$I$43:$U$43,0))</f>
        <v>0</v>
      </c>
      <c r="AW17" s="47">
        <f>INDEX(Direct_Cost_Splits_Network,MATCH($H17,RIN_Asset_Cat_Network,0),MATCH($AY$4,Direct_Cost_Type,0))*$M17*INDEX(Act_Type_Augex_Splits,MATCH($I17,Act_Type_Augex,0),MATCH(AW$4,Mat_Type,0))*INDEX(Escalators!$I$44:$U$49,MATCH(AW$4,Escalators!$C$44:$C$49,0),MATCH(AW$5,Escalators!$I$43:$U$43,0))</f>
        <v>0</v>
      </c>
      <c r="AX17" s="47">
        <f>INDEX(Direct_Cost_Splits_Network,MATCH($H17,RIN_Asset_Cat_Network,0),MATCH($AY$4,Direct_Cost_Type,0))*$M17*INDEX(Act_Type_Augex_Splits,MATCH($I17,Act_Type_Augex,0),MATCH(AX$4,Mat_Type,0))*INDEX(Escalators!$I$44:$U$49,MATCH(AX$4,Escalators!$C$44:$C$49,0),MATCH(AX$5,Escalators!$I$43:$U$43,0))</f>
        <v>0</v>
      </c>
      <c r="AY17" s="47">
        <f t="shared" si="9"/>
        <v>0</v>
      </c>
      <c r="AZ17" s="47">
        <f>INDEX(Direct_Cost_Splits_Network,MATCH($H17,RIN_Asset_Cat_Network,0),MATCH($BE$4,Direct_Cost_Type,0))*$N17*INDEX(Act_Type_Augex_Splits,MATCH($I17,Act_Type_Augex,0),MATCH(AZ$4,Mat_Type,0))*INDEX(Escalators!$I$44:$U$49,MATCH(AZ$4,Escalators!$C$44:$C$49,0),MATCH(AZ$5,Escalators!$I$43:$U$43,0))</f>
        <v>0</v>
      </c>
      <c r="BA17" s="47">
        <f>INDEX(Direct_Cost_Splits_Network,MATCH($H17,RIN_Asset_Cat_Network,0),MATCH($BE$4,Direct_Cost_Type,0))*$N17*INDEX(Act_Type_Augex_Splits,MATCH($I17,Act_Type_Augex,0),MATCH(BA$4,Mat_Type,0))*INDEX(Escalators!$I$44:$U$49,MATCH(BA$4,Escalators!$C$44:$C$49,0),MATCH(BA$5,Escalators!$I$43:$U$43,0))</f>
        <v>0</v>
      </c>
      <c r="BB17" s="47">
        <f>INDEX(Direct_Cost_Splits_Network,MATCH($H17,RIN_Asset_Cat_Network,0),MATCH($BE$4,Direct_Cost_Type,0))*$N17*INDEX(Act_Type_Augex_Splits,MATCH($I17,Act_Type_Augex,0),MATCH(BB$4,Mat_Type,0))*INDEX(Escalators!$I$44:$U$49,MATCH(BB$4,Escalators!$C$44:$C$49,0),MATCH(BB$5,Escalators!$I$43:$U$43,0))</f>
        <v>0</v>
      </c>
      <c r="BC17" s="47">
        <f>INDEX(Direct_Cost_Splits_Network,MATCH($H17,RIN_Asset_Cat_Network,0),MATCH($BE$4,Direct_Cost_Type,0))*$N17*INDEX(Act_Type_Augex_Splits,MATCH($I17,Act_Type_Augex,0),MATCH(BC$4,Mat_Type,0))*INDEX(Escalators!$I$44:$U$49,MATCH(BC$4,Escalators!$C$44:$C$49,0),MATCH(BC$5,Escalators!$I$43:$U$43,0))</f>
        <v>0</v>
      </c>
      <c r="BD17" s="47">
        <f>INDEX(Direct_Cost_Splits_Network,MATCH($H17,RIN_Asset_Cat_Network,0),MATCH($BE$4,Direct_Cost_Type,0))*$N17*INDEX(Act_Type_Augex_Splits,MATCH($I17,Act_Type_Augex,0),MATCH(BD$4,Mat_Type,0))*INDEX(Escalators!$I$44:$U$49,MATCH(BD$4,Escalators!$C$44:$C$49,0),MATCH(BD$5,Escalators!$I$43:$U$43,0))</f>
        <v>0</v>
      </c>
      <c r="BE17" s="47">
        <f t="shared" si="10"/>
        <v>0</v>
      </c>
      <c r="BF17" s="47">
        <f>INDEX(Direct_Cost_Splits_Network,MATCH($H17,RIN_Asset_Cat_Network,0),MATCH($BK$4,Direct_Cost_Type,0))*$O17*INDEX(Act_Type_Augex_Splits,MATCH($I17,Act_Type_Augex,0),MATCH(BF$4,Mat_Type,0))*INDEX(Escalators!$I$44:$U$49,MATCH(BF$4,Escalators!$C$44:$C$49,0),MATCH(BF$5,Escalators!$I$43:$U$43,0))</f>
        <v>0</v>
      </c>
      <c r="BG17" s="47">
        <f>INDEX(Direct_Cost_Splits_Network,MATCH($H17,RIN_Asset_Cat_Network,0),MATCH($BK$4,Direct_Cost_Type,0))*$O17*INDEX(Act_Type_Augex_Splits,MATCH($I17,Act_Type_Augex,0),MATCH(BG$4,Mat_Type,0))*INDEX(Escalators!$I$44:$U$49,MATCH(BG$4,Escalators!$C$44:$C$49,0),MATCH(BG$5,Escalators!$I$43:$U$43,0))</f>
        <v>0</v>
      </c>
      <c r="BH17" s="47">
        <f>INDEX(Direct_Cost_Splits_Network,MATCH($H17,RIN_Asset_Cat_Network,0),MATCH($BK$4,Direct_Cost_Type,0))*$O17*INDEX(Act_Type_Augex_Splits,MATCH($I17,Act_Type_Augex,0),MATCH(BH$4,Mat_Type,0))*INDEX(Escalators!$I$44:$U$49,MATCH(BH$4,Escalators!$C$44:$C$49,0),MATCH(BH$5,Escalators!$I$43:$U$43,0))</f>
        <v>0</v>
      </c>
      <c r="BI17" s="47">
        <f>INDEX(Direct_Cost_Splits_Network,MATCH($H17,RIN_Asset_Cat_Network,0),MATCH($BK$4,Direct_Cost_Type,0))*$O17*INDEX(Act_Type_Augex_Splits,MATCH($I17,Act_Type_Augex,0),MATCH(BI$4,Mat_Type,0))*INDEX(Escalators!$I$44:$U$49,MATCH(BI$4,Escalators!$C$44:$C$49,0),MATCH(BI$5,Escalators!$I$43:$U$43,0))</f>
        <v>0</v>
      </c>
      <c r="BJ17" s="47">
        <f>INDEX(Direct_Cost_Splits_Network,MATCH($H17,RIN_Asset_Cat_Network,0),MATCH($BK$4,Direct_Cost_Type,0))*$O17*INDEX(Act_Type_Augex_Splits,MATCH($I17,Act_Type_Augex,0),MATCH(BJ$4,Mat_Type,0))*INDEX(Escalators!$I$44:$U$49,MATCH(BJ$4,Escalators!$C$44:$C$49,0),MATCH(BJ$5,Escalators!$I$43:$U$43,0))</f>
        <v>0</v>
      </c>
      <c r="BK17" s="47">
        <f t="shared" si="11"/>
        <v>0</v>
      </c>
      <c r="BL17" s="47">
        <f>INDEX(Direct_Cost_Splits_Network,MATCH($H17,RIN_Asset_Cat_Network,0),MATCH($BQ$4,Direct_Cost_Type,0))*$P17*INDEX(Act_Type_Augex_Splits,MATCH($I17,Act_Type_Augex,0),MATCH(BL$4,Mat_Type,0))*INDEX(Escalators!$I$44:$U$49,MATCH(BL$4,Escalators!$C$44:$C$49,0),MATCH(BL$5,Escalators!$I$43:$U$43,0))</f>
        <v>0</v>
      </c>
      <c r="BM17" s="47">
        <f>INDEX(Direct_Cost_Splits_Network,MATCH($H17,RIN_Asset_Cat_Network,0),MATCH($BQ$4,Direct_Cost_Type,0))*$P17*INDEX(Act_Type_Augex_Splits,MATCH($I17,Act_Type_Augex,0),MATCH(BM$4,Mat_Type,0))*INDEX(Escalators!$I$44:$U$49,MATCH(BM$4,Escalators!$C$44:$C$49,0),MATCH(BM$5,Escalators!$I$43:$U$43,0))</f>
        <v>0</v>
      </c>
      <c r="BN17" s="47">
        <f>INDEX(Direct_Cost_Splits_Network,MATCH($H17,RIN_Asset_Cat_Network,0),MATCH($BQ$4,Direct_Cost_Type,0))*$P17*INDEX(Act_Type_Augex_Splits,MATCH($I17,Act_Type_Augex,0),MATCH(BN$4,Mat_Type,0))*INDEX(Escalators!$I$44:$U$49,MATCH(BN$4,Escalators!$C$44:$C$49,0),MATCH(BN$5,Escalators!$I$43:$U$43,0))</f>
        <v>0</v>
      </c>
      <c r="BO17" s="47">
        <f>INDEX(Direct_Cost_Splits_Network,MATCH($H17,RIN_Asset_Cat_Network,0),MATCH($BQ$4,Direct_Cost_Type,0))*$P17*INDEX(Act_Type_Augex_Splits,MATCH($I17,Act_Type_Augex,0),MATCH(BO$4,Mat_Type,0))*INDEX(Escalators!$I$44:$U$49,MATCH(BO$4,Escalators!$C$44:$C$49,0),MATCH(BO$5,Escalators!$I$43:$U$43,0))</f>
        <v>0</v>
      </c>
      <c r="BP17" s="47">
        <f>INDEX(Direct_Cost_Splits_Network,MATCH($H17,RIN_Asset_Cat_Network,0),MATCH($BQ$4,Direct_Cost_Type,0))*$P17*INDEX(Act_Type_Augex_Splits,MATCH($I17,Act_Type_Augex,0),MATCH(BP$4,Mat_Type,0))*INDEX(Escalators!$I$44:$U$49,MATCH(BP$4,Escalators!$C$44:$C$49,0),MATCH(BP$5,Escalators!$I$43:$U$43,0))</f>
        <v>0</v>
      </c>
      <c r="BQ17" s="47">
        <f t="shared" si="12"/>
        <v>0</v>
      </c>
      <c r="BR17" s="47">
        <f>INDEX(Direct_Cost_Splits_Network,MATCH($H17,RIN_Asset_Cat_Network,0),MATCH($BW$4,Direct_Cost_Type,0))*$Q17*INDEX(Act_Type_Augex_Splits,MATCH($I17,Act_Type_Augex,0),MATCH(BR$4,Mat_Type,0))*INDEX(Escalators!$I$44:$U$49,MATCH(BR$4,Escalators!$C$44:$C$49,0),MATCH(BR$5,Escalators!$I$43:$U$43,0))</f>
        <v>0</v>
      </c>
      <c r="BS17" s="47">
        <f>INDEX(Direct_Cost_Splits_Network,MATCH($H17,RIN_Asset_Cat_Network,0),MATCH($BW$4,Direct_Cost_Type,0))*$Q17*INDEX(Act_Type_Augex_Splits,MATCH($I17,Act_Type_Augex,0),MATCH(BS$4,Mat_Type,0))*INDEX(Escalators!$I$44:$U$49,MATCH(BS$4,Escalators!$C$44:$C$49,0),MATCH(BS$5,Escalators!$I$43:$U$43,0))</f>
        <v>0</v>
      </c>
      <c r="BT17" s="47">
        <f>INDEX(Direct_Cost_Splits_Network,MATCH($H17,RIN_Asset_Cat_Network,0),MATCH($BW$4,Direct_Cost_Type,0))*$Q17*INDEX(Act_Type_Augex_Splits,MATCH($I17,Act_Type_Augex,0),MATCH(BT$4,Mat_Type,0))*INDEX(Escalators!$I$44:$U$49,MATCH(BT$4,Escalators!$C$44:$C$49,0),MATCH(BT$5,Escalators!$I$43:$U$43,0))</f>
        <v>0</v>
      </c>
      <c r="BU17" s="47">
        <f>INDEX(Direct_Cost_Splits_Network,MATCH($H17,RIN_Asset_Cat_Network,0),MATCH($BW$4,Direct_Cost_Type,0))*$Q17*INDEX(Act_Type_Augex_Splits,MATCH($I17,Act_Type_Augex,0),MATCH(BU$4,Mat_Type,0))*INDEX(Escalators!$I$44:$U$49,MATCH(BU$4,Escalators!$C$44:$C$49,0),MATCH(BU$5,Escalators!$I$43:$U$43,0))</f>
        <v>0</v>
      </c>
      <c r="BV17" s="47">
        <f>INDEX(Direct_Cost_Splits_Network,MATCH($H17,RIN_Asset_Cat_Network,0),MATCH($BW$4,Direct_Cost_Type,0))*$Q17*INDEX(Act_Type_Augex_Splits,MATCH($I17,Act_Type_Augex,0),MATCH(BV$4,Mat_Type,0))*INDEX(Escalators!$I$44:$U$49,MATCH(BV$4,Escalators!$C$44:$C$49,0),MATCH(BV$5,Escalators!$I$43:$U$43,0))</f>
        <v>0</v>
      </c>
      <c r="BW17" s="47">
        <f t="shared" si="13"/>
        <v>0</v>
      </c>
      <c r="BY17" s="47">
        <f>INDEX(Direct_Cost_Splits_Network,MATCH($H17,RIN_Asset_Cat_Network,0),MATCH($BY$4,Direct_Cost_Type,0))*J17*HLOOKUP(BY$5,Escalators!$I$25:$U$30,6,FALSE)</f>
        <v>0</v>
      </c>
      <c r="BZ17" s="47">
        <f>INDEX(Direct_Cost_Splits_Network,MATCH($H17,RIN_Asset_Cat_Network,0),MATCH($BY$4,Direct_Cost_Type,0))*K17*HLOOKUP(BZ$5,Escalators!$I$25:$U$30,6,FALSE)</f>
        <v>0</v>
      </c>
      <c r="CA17" s="47">
        <f>INDEX(Direct_Cost_Splits_Network,MATCH($H17,RIN_Asset_Cat_Network,0),MATCH($BY$4,Direct_Cost_Type,0))*L17*HLOOKUP(CA$5,Escalators!$I$25:$U$30,6,FALSE)</f>
        <v>0</v>
      </c>
      <c r="CB17" s="47">
        <f>INDEX(Direct_Cost_Splits_Network,MATCH($H17,RIN_Asset_Cat_Network,0),MATCH($BY$4,Direct_Cost_Type,0))*M17*HLOOKUP(CB$5,Escalators!$I$25:$U$30,6,FALSE)</f>
        <v>0</v>
      </c>
      <c r="CC17" s="47">
        <f>INDEX(Direct_Cost_Splits_Network,MATCH($H17,RIN_Asset_Cat_Network,0),MATCH($BY$4,Direct_Cost_Type,0))*N17*HLOOKUP(CC$5,Escalators!$I$25:$U$30,6,FALSE)</f>
        <v>0</v>
      </c>
      <c r="CD17" s="47">
        <f>INDEX(Direct_Cost_Splits_Network,MATCH($H17,RIN_Asset_Cat_Network,0),MATCH($BY$4,Direct_Cost_Type,0))*O17*HLOOKUP(CD$5,Escalators!$I$25:$U$30,6,FALSE)</f>
        <v>0</v>
      </c>
      <c r="CE17" s="47">
        <f>INDEX(Direct_Cost_Splits_Network,MATCH($H17,RIN_Asset_Cat_Network,0),MATCH($BY$4,Direct_Cost_Type,0))*P17*HLOOKUP(CE$5,Escalators!$I$25:$U$30,6,FALSE)</f>
        <v>0</v>
      </c>
      <c r="CF17" s="47">
        <f>INDEX(Direct_Cost_Splits_Network,MATCH($H17,RIN_Asset_Cat_Network,0),MATCH($BY$4,Direct_Cost_Type,0))*Q17*HLOOKUP(CF$5,Escalators!$I$25:$U$30,6,FALSE)</f>
        <v>0</v>
      </c>
      <c r="CH17" s="47">
        <f t="shared" ref="CH17:CH29" si="26">INDEX(Direct_Cost_Splits_Network,MATCH($H17,RIN_Asset_Cat_Network,0),MATCH($CH$4,Direct_Cost_Type,0))*J17</f>
        <v>0</v>
      </c>
      <c r="CI17" s="47">
        <f t="shared" ref="CI17:CI29" si="27">INDEX(Direct_Cost_Splits_Network,MATCH($H17,RIN_Asset_Cat_Network,0),MATCH($CH$4,Direct_Cost_Type,0))*K17</f>
        <v>0</v>
      </c>
      <c r="CJ17" s="47">
        <f t="shared" ref="CJ17:CJ29" si="28">INDEX(Direct_Cost_Splits_Network,MATCH($H17,RIN_Asset_Cat_Network,0),MATCH($CH$4,Direct_Cost_Type,0))*L17</f>
        <v>0</v>
      </c>
      <c r="CK17" s="47">
        <f t="shared" ref="CK17:CK29" si="29">INDEX(Direct_Cost_Splits_Network,MATCH($H17,RIN_Asset_Cat_Network,0),MATCH($CH$4,Direct_Cost_Type,0))*M17</f>
        <v>0</v>
      </c>
      <c r="CL17" s="47">
        <f t="shared" ref="CL17:CL29" si="30">INDEX(Direct_Cost_Splits_Network,MATCH($H17,RIN_Asset_Cat_Network,0),MATCH($CH$4,Direct_Cost_Type,0))*N17</f>
        <v>0</v>
      </c>
      <c r="CM17" s="47">
        <f t="shared" ref="CM17:CM29" si="31">INDEX(Direct_Cost_Splits_Network,MATCH($H17,RIN_Asset_Cat_Network,0),MATCH($CH$4,Direct_Cost_Type,0))*O17</f>
        <v>0</v>
      </c>
      <c r="CN17" s="47">
        <f t="shared" ref="CN17:CN29" si="32">INDEX(Direct_Cost_Splits_Network,MATCH($H17,RIN_Asset_Cat_Network,0),MATCH($CH$4,Direct_Cost_Type,0))*P17</f>
        <v>0</v>
      </c>
      <c r="CO17" s="47">
        <f t="shared" ref="CO17:CO29" si="33">INDEX(Direct_Cost_Splits_Network,MATCH($H17,RIN_Asset_Cat_Network,0),MATCH($CH$4,Direct_Cost_Type,0))*Q17</f>
        <v>0</v>
      </c>
      <c r="CQ17" s="373">
        <f t="shared" si="15"/>
        <v>0</v>
      </c>
      <c r="CR17" s="47">
        <f t="shared" si="16"/>
        <v>0</v>
      </c>
      <c r="CS17" s="47">
        <f t="shared" si="17"/>
        <v>0</v>
      </c>
      <c r="CT17" s="47">
        <f t="shared" si="18"/>
        <v>0</v>
      </c>
      <c r="CU17" s="47">
        <f t="shared" si="19"/>
        <v>0</v>
      </c>
      <c r="CV17" s="47">
        <f t="shared" si="20"/>
        <v>0</v>
      </c>
      <c r="CW17" s="47">
        <f t="shared" si="21"/>
        <v>0</v>
      </c>
      <c r="CX17" s="47">
        <f t="shared" si="22"/>
        <v>0</v>
      </c>
      <c r="CZ17" s="39"/>
    </row>
    <row r="18" spans="2:104" x14ac:dyDescent="0.3">
      <c r="B18" s="7" t="s">
        <v>429</v>
      </c>
      <c r="C18" s="7" t="s">
        <v>421</v>
      </c>
      <c r="D18" s="7" t="s">
        <v>542</v>
      </c>
      <c r="E18" s="7" t="s">
        <v>45</v>
      </c>
      <c r="F18" s="7" t="s">
        <v>51</v>
      </c>
      <c r="G18" s="7" t="s">
        <v>10</v>
      </c>
      <c r="H18" s="7" t="s">
        <v>164</v>
      </c>
      <c r="I18" s="7" t="s">
        <v>214</v>
      </c>
      <c r="J18" s="45"/>
      <c r="K18" s="45"/>
      <c r="L18" s="45"/>
      <c r="M18" s="45"/>
      <c r="N18" s="45"/>
      <c r="O18" s="45"/>
      <c r="P18" s="45"/>
      <c r="Q18" s="45"/>
      <c r="S18" s="47">
        <f>INDEX(Direct_Cost_Splits_Network,MATCH($H18,RIN_Asset_Cat_Network,0),MATCH($S$4,Direct_Cost_Type,0))*J18*HLOOKUP(S$5,Escalators!$I$25:$U$30,3,FALSE)</f>
        <v>0</v>
      </c>
      <c r="T18" s="47">
        <f>INDEX(Direct_Cost_Splits_Network,MATCH($H18,RIN_Asset_Cat_Network,0),MATCH($S$4,Direct_Cost_Type,0))*K18*HLOOKUP(T$5,Escalators!$I$25:$U$30,3,FALSE)</f>
        <v>0</v>
      </c>
      <c r="U18" s="47">
        <f>INDEX(Direct_Cost_Splits_Network,MATCH($H18,RIN_Asset_Cat_Network,0),MATCH($S$4,Direct_Cost_Type,0))*L18*HLOOKUP(U$5,Escalators!$I$25:$U$30,3,FALSE)</f>
        <v>0</v>
      </c>
      <c r="V18" s="47">
        <f>INDEX(Direct_Cost_Splits_Network,MATCH($H18,RIN_Asset_Cat_Network,0),MATCH($S$4,Direct_Cost_Type,0))*M18*HLOOKUP(V$5,Escalators!$I$25:$U$30,3,FALSE)</f>
        <v>0</v>
      </c>
      <c r="W18" s="47">
        <f>INDEX(Direct_Cost_Splits_Network,MATCH($H18,RIN_Asset_Cat_Network,0),MATCH($S$4,Direct_Cost_Type,0))*N18*HLOOKUP(W$5,Escalators!$I$25:$U$30,3,FALSE)</f>
        <v>0</v>
      </c>
      <c r="X18" s="47">
        <f>INDEX(Direct_Cost_Splits_Network,MATCH($H18,RIN_Asset_Cat_Network,0),MATCH($S$4,Direct_Cost_Type,0))*O18*HLOOKUP(X$5,Escalators!$I$25:$U$30,3,FALSE)</f>
        <v>0</v>
      </c>
      <c r="Y18" s="47">
        <f>INDEX(Direct_Cost_Splits_Network,MATCH($H18,RIN_Asset_Cat_Network,0),MATCH($S$4,Direct_Cost_Type,0))*P18*HLOOKUP(Y$5,Escalators!$I$25:$U$30,3,FALSE)</f>
        <v>0</v>
      </c>
      <c r="Z18" s="47">
        <f>INDEX(Direct_Cost_Splits_Network,MATCH($H18,RIN_Asset_Cat_Network,0),MATCH($S$4,Direct_Cost_Type,0))*Q18*HLOOKUP(Z$5,Escalators!$I$25:$U$30,3,FALSE)</f>
        <v>0</v>
      </c>
      <c r="AB18" s="6">
        <f>INDEX(Direct_Cost_Splits_Network,MATCH($H18,RIN_Asset_Cat_Network,0),MATCH($AG$4,Direct_Cost_Type,0))*$J18*INDEX(Act_Type_Augex_Splits,MATCH($I18,Act_Type_Augex,0),MATCH(AB$4,Mat_Type,0))*INDEX(Escalators!$I$44:$U$49,MATCH(AB$4,Escalators!$C$44:$C$49,0),MATCH(AB$5,Escalators!$I$43:$U$43,0))</f>
        <v>0</v>
      </c>
      <c r="AC18" s="6">
        <f>INDEX(Direct_Cost_Splits_Network,MATCH($H18,RIN_Asset_Cat_Network,0),MATCH($AG$4,Direct_Cost_Type,0))*$J18*INDEX(Act_Type_Augex_Splits,MATCH($I18,Act_Type_Augex,0),MATCH(AC$4,Mat_Type,0))*INDEX(Escalators!$I$44:$U$49,MATCH(AC$4,Escalators!$C$44:$C$49,0),MATCH(AC$5,Escalators!$I$43:$U$43,0))</f>
        <v>0</v>
      </c>
      <c r="AD18" s="6">
        <f>INDEX(Direct_Cost_Splits_Network,MATCH($H18,RIN_Asset_Cat_Network,0),MATCH($AG$4,Direct_Cost_Type,0))*$J18*INDEX(Act_Type_Augex_Splits,MATCH($I18,Act_Type_Augex,0),MATCH(AD$4,Mat_Type,0))*INDEX(Escalators!$I$44:$U$49,MATCH(AD$4,Escalators!$C$44:$C$49,0),MATCH(AD$5,Escalators!$I$43:$U$43,0))</f>
        <v>0</v>
      </c>
      <c r="AE18" s="6">
        <f>INDEX(Direct_Cost_Splits_Network,MATCH($H18,RIN_Asset_Cat_Network,0),MATCH($AG$4,Direct_Cost_Type,0))*$J18*INDEX(Act_Type_Augex_Splits,MATCH($I18,Act_Type_Augex,0),MATCH(AE$4,Mat_Type,0))*INDEX(Escalators!$I$44:$U$49,MATCH(AE$4,Escalators!$C$44:$C$49,0),MATCH(AE$5,Escalators!$I$43:$U$43,0))</f>
        <v>0</v>
      </c>
      <c r="AF18" s="6">
        <f>INDEX(Direct_Cost_Splits_Network,MATCH($H18,RIN_Asset_Cat_Network,0),MATCH($AG$4,Direct_Cost_Type,0))*$J18*INDEX(Act_Type_Augex_Splits,MATCH($I18,Act_Type_Augex,0),MATCH(AF$4,Mat_Type,0))*INDEX(Escalators!$I$44:$U$49,MATCH(AF$4,Escalators!$C$44:$C$49,0),MATCH(AF$5,Escalators!$I$43:$U$43,0))</f>
        <v>0</v>
      </c>
      <c r="AG18" s="47">
        <f t="shared" si="23"/>
        <v>0</v>
      </c>
      <c r="AH18" s="47">
        <f>INDEX(Direct_Cost_Splits_Network,MATCH($H18,RIN_Asset_Cat_Network,0),MATCH($AY$4,Direct_Cost_Type,0))*$K18*INDEX(Act_Type_Augex_Splits,MATCH($I18,Act_Type_Augex,0),MATCH(AH$4,Mat_Type,0))*INDEX(Escalators!$I$44:$U$49,MATCH(AH$4,Escalators!$C$44:$C$49,0),MATCH(AH$5,Escalators!$I$43:$U$43,0))</f>
        <v>0</v>
      </c>
      <c r="AI18" s="47">
        <f>INDEX(Direct_Cost_Splits_Network,MATCH($H18,RIN_Asset_Cat_Network,0),MATCH($AY$4,Direct_Cost_Type,0))*$K18*INDEX(Act_Type_Augex_Splits,MATCH($I18,Act_Type_Augex,0),MATCH(AI$4,Mat_Type,0))*INDEX(Escalators!$I$44:$U$49,MATCH(AI$4,Escalators!$C$44:$C$49,0),MATCH(AI$5,Escalators!$I$43:$U$43,0))</f>
        <v>0</v>
      </c>
      <c r="AJ18" s="47">
        <f>INDEX(Direct_Cost_Splits_Network,MATCH($H18,RIN_Asset_Cat_Network,0),MATCH($AY$4,Direct_Cost_Type,0))*$K18*INDEX(Act_Type_Augex_Splits,MATCH($I18,Act_Type_Augex,0),MATCH(AJ$4,Mat_Type,0))*INDEX(Escalators!$I$44:$U$49,MATCH(AJ$4,Escalators!$C$44:$C$49,0),MATCH(AJ$5,Escalators!$I$43:$U$43,0))</f>
        <v>0</v>
      </c>
      <c r="AK18" s="47">
        <f>INDEX(Direct_Cost_Splits_Network,MATCH($H18,RIN_Asset_Cat_Network,0),MATCH($AY$4,Direct_Cost_Type,0))*$K18*INDEX(Act_Type_Augex_Splits,MATCH($I18,Act_Type_Augex,0),MATCH(AK$4,Mat_Type,0))*INDEX(Escalators!$I$44:$U$49,MATCH(AK$4,Escalators!$C$44:$C$49,0),MATCH(AK$5,Escalators!$I$43:$U$43,0))</f>
        <v>0</v>
      </c>
      <c r="AL18" s="47">
        <f>INDEX(Direct_Cost_Splits_Network,MATCH($H18,RIN_Asset_Cat_Network,0),MATCH($AY$4,Direct_Cost_Type,0))*$K18*INDEX(Act_Type_Augex_Splits,MATCH($I18,Act_Type_Augex,0),MATCH(AL$4,Mat_Type,0))*INDEX(Escalators!$I$44:$U$49,MATCH(AL$4,Escalators!$C$44:$C$49,0),MATCH(AL$5,Escalators!$I$43:$U$43,0))</f>
        <v>0</v>
      </c>
      <c r="AM18" s="47">
        <f t="shared" si="24"/>
        <v>0</v>
      </c>
      <c r="AN18" s="47">
        <f>INDEX(Direct_Cost_Splits_Network,MATCH($H18,RIN_Asset_Cat_Network,0),MATCH($AY$4,Direct_Cost_Type,0))*$L18*INDEX(Act_Type_Augex_Splits,MATCH($I18,Act_Type_Augex,0),MATCH(AN$4,Mat_Type,0))*INDEX(Escalators!$I$44:$U$49,MATCH(AN$4,Escalators!$C$44:$C$49,0),MATCH(AN$5,Escalators!$I$43:$U$43,0))</f>
        <v>0</v>
      </c>
      <c r="AO18" s="47">
        <f>INDEX(Direct_Cost_Splits_Network,MATCH($H18,RIN_Asset_Cat_Network,0),MATCH($AY$4,Direct_Cost_Type,0))*$L18*INDEX(Act_Type_Augex_Splits,MATCH($I18,Act_Type_Augex,0),MATCH(AO$4,Mat_Type,0))*INDEX(Escalators!$I$44:$U$49,MATCH(AO$4,Escalators!$C$44:$C$49,0),MATCH(AO$5,Escalators!$I$43:$U$43,0))</f>
        <v>0</v>
      </c>
      <c r="AP18" s="47">
        <f>INDEX(Direct_Cost_Splits_Network,MATCH($H18,RIN_Asset_Cat_Network,0),MATCH($AY$4,Direct_Cost_Type,0))*$L18*INDEX(Act_Type_Augex_Splits,MATCH($I18,Act_Type_Augex,0),MATCH(AP$4,Mat_Type,0))*INDEX(Escalators!$I$44:$U$49,MATCH(AP$4,Escalators!$C$44:$C$49,0),MATCH(AP$5,Escalators!$I$43:$U$43,0))</f>
        <v>0</v>
      </c>
      <c r="AQ18" s="47">
        <f>INDEX(Direct_Cost_Splits_Network,MATCH($H18,RIN_Asset_Cat_Network,0),MATCH($AY$4,Direct_Cost_Type,0))*$L18*INDEX(Act_Type_Augex_Splits,MATCH($I18,Act_Type_Augex,0),MATCH(AQ$4,Mat_Type,0))*INDEX(Escalators!$I$44:$U$49,MATCH(AQ$4,Escalators!$C$44:$C$49,0),MATCH(AQ$5,Escalators!$I$43:$U$43,0))</f>
        <v>0</v>
      </c>
      <c r="AR18" s="47">
        <f>INDEX(Direct_Cost_Splits_Network,MATCH($H18,RIN_Asset_Cat_Network,0),MATCH($AY$4,Direct_Cost_Type,0))*$L18*INDEX(Act_Type_Augex_Splits,MATCH($I18,Act_Type_Augex,0),MATCH(AR$4,Mat_Type,0))*INDEX(Escalators!$I$44:$U$49,MATCH(AR$4,Escalators!$C$44:$C$49,0),MATCH(AR$5,Escalators!$I$43:$U$43,0))</f>
        <v>0</v>
      </c>
      <c r="AS18" s="47">
        <f t="shared" si="8"/>
        <v>0</v>
      </c>
      <c r="AT18" s="47">
        <f>INDEX(Direct_Cost_Splits_Network,MATCH($H18,RIN_Asset_Cat_Network,0),MATCH($AY$4,Direct_Cost_Type,0))*$M18*INDEX(Act_Type_Augex_Splits,MATCH($I18,Act_Type_Augex,0),MATCH(AT$4,Mat_Type,0))*INDEX(Escalators!$I$44:$U$49,MATCH(AT$4,Escalators!$C$44:$C$49,0),MATCH(AT$5,Escalators!$I$43:$U$43,0))</f>
        <v>0</v>
      </c>
      <c r="AU18" s="47">
        <f>INDEX(Direct_Cost_Splits_Network,MATCH($H18,RIN_Asset_Cat_Network,0),MATCH($AY$4,Direct_Cost_Type,0))*$M18*INDEX(Act_Type_Augex_Splits,MATCH($I18,Act_Type_Augex,0),MATCH(AU$4,Mat_Type,0))*INDEX(Escalators!$I$44:$U$49,MATCH(AU$4,Escalators!$C$44:$C$49,0),MATCH(AU$5,Escalators!$I$43:$U$43,0))</f>
        <v>0</v>
      </c>
      <c r="AV18" s="47">
        <f>INDEX(Direct_Cost_Splits_Network,MATCH($H18,RIN_Asset_Cat_Network,0),MATCH($AY$4,Direct_Cost_Type,0))*$M18*INDEX(Act_Type_Augex_Splits,MATCH($I18,Act_Type_Augex,0),MATCH(AV$4,Mat_Type,0))*INDEX(Escalators!$I$44:$U$49,MATCH(AV$4,Escalators!$C$44:$C$49,0),MATCH(AV$5,Escalators!$I$43:$U$43,0))</f>
        <v>0</v>
      </c>
      <c r="AW18" s="47">
        <f>INDEX(Direct_Cost_Splits_Network,MATCH($H18,RIN_Asset_Cat_Network,0),MATCH($AY$4,Direct_Cost_Type,0))*$M18*INDEX(Act_Type_Augex_Splits,MATCH($I18,Act_Type_Augex,0),MATCH(AW$4,Mat_Type,0))*INDEX(Escalators!$I$44:$U$49,MATCH(AW$4,Escalators!$C$44:$C$49,0),MATCH(AW$5,Escalators!$I$43:$U$43,0))</f>
        <v>0</v>
      </c>
      <c r="AX18" s="47">
        <f>INDEX(Direct_Cost_Splits_Network,MATCH($H18,RIN_Asset_Cat_Network,0),MATCH($AY$4,Direct_Cost_Type,0))*$M18*INDEX(Act_Type_Augex_Splits,MATCH($I18,Act_Type_Augex,0),MATCH(AX$4,Mat_Type,0))*INDEX(Escalators!$I$44:$U$49,MATCH(AX$4,Escalators!$C$44:$C$49,0),MATCH(AX$5,Escalators!$I$43:$U$43,0))</f>
        <v>0</v>
      </c>
      <c r="AY18" s="47">
        <f t="shared" si="9"/>
        <v>0</v>
      </c>
      <c r="AZ18" s="47">
        <f>INDEX(Direct_Cost_Splits_Network,MATCH($H18,RIN_Asset_Cat_Network,0),MATCH($BE$4,Direct_Cost_Type,0))*$N18*INDEX(Act_Type_Augex_Splits,MATCH($I18,Act_Type_Augex,0),MATCH(AZ$4,Mat_Type,0))*INDEX(Escalators!$I$44:$U$49,MATCH(AZ$4,Escalators!$C$44:$C$49,0),MATCH(AZ$5,Escalators!$I$43:$U$43,0))</f>
        <v>0</v>
      </c>
      <c r="BA18" s="47">
        <f>INDEX(Direct_Cost_Splits_Network,MATCH($H18,RIN_Asset_Cat_Network,0),MATCH($BE$4,Direct_Cost_Type,0))*$N18*INDEX(Act_Type_Augex_Splits,MATCH($I18,Act_Type_Augex,0),MATCH(BA$4,Mat_Type,0))*INDEX(Escalators!$I$44:$U$49,MATCH(BA$4,Escalators!$C$44:$C$49,0),MATCH(BA$5,Escalators!$I$43:$U$43,0))</f>
        <v>0</v>
      </c>
      <c r="BB18" s="47">
        <f>INDEX(Direct_Cost_Splits_Network,MATCH($H18,RIN_Asset_Cat_Network,0),MATCH($BE$4,Direct_Cost_Type,0))*$N18*INDEX(Act_Type_Augex_Splits,MATCH($I18,Act_Type_Augex,0),MATCH(BB$4,Mat_Type,0))*INDEX(Escalators!$I$44:$U$49,MATCH(BB$4,Escalators!$C$44:$C$49,0),MATCH(BB$5,Escalators!$I$43:$U$43,0))</f>
        <v>0</v>
      </c>
      <c r="BC18" s="47">
        <f>INDEX(Direct_Cost_Splits_Network,MATCH($H18,RIN_Asset_Cat_Network,0),MATCH($BE$4,Direct_Cost_Type,0))*$N18*INDEX(Act_Type_Augex_Splits,MATCH($I18,Act_Type_Augex,0),MATCH(BC$4,Mat_Type,0))*INDEX(Escalators!$I$44:$U$49,MATCH(BC$4,Escalators!$C$44:$C$49,0),MATCH(BC$5,Escalators!$I$43:$U$43,0))</f>
        <v>0</v>
      </c>
      <c r="BD18" s="47">
        <f>INDEX(Direct_Cost_Splits_Network,MATCH($H18,RIN_Asset_Cat_Network,0),MATCH($BE$4,Direct_Cost_Type,0))*$N18*INDEX(Act_Type_Augex_Splits,MATCH($I18,Act_Type_Augex,0),MATCH(BD$4,Mat_Type,0))*INDEX(Escalators!$I$44:$U$49,MATCH(BD$4,Escalators!$C$44:$C$49,0),MATCH(BD$5,Escalators!$I$43:$U$43,0))</f>
        <v>0</v>
      </c>
      <c r="BE18" s="47">
        <f t="shared" si="10"/>
        <v>0</v>
      </c>
      <c r="BF18" s="47">
        <f>INDEX(Direct_Cost_Splits_Network,MATCH($H18,RIN_Asset_Cat_Network,0),MATCH($BK$4,Direct_Cost_Type,0))*$O18*INDEX(Act_Type_Augex_Splits,MATCH($I18,Act_Type_Augex,0),MATCH(BF$4,Mat_Type,0))*INDEX(Escalators!$I$44:$U$49,MATCH(BF$4,Escalators!$C$44:$C$49,0),MATCH(BF$5,Escalators!$I$43:$U$43,0))</f>
        <v>0</v>
      </c>
      <c r="BG18" s="47">
        <f>INDEX(Direct_Cost_Splits_Network,MATCH($H18,RIN_Asset_Cat_Network,0),MATCH($BK$4,Direct_Cost_Type,0))*$O18*INDEX(Act_Type_Augex_Splits,MATCH($I18,Act_Type_Augex,0),MATCH(BG$4,Mat_Type,0))*INDEX(Escalators!$I$44:$U$49,MATCH(BG$4,Escalators!$C$44:$C$49,0),MATCH(BG$5,Escalators!$I$43:$U$43,0))</f>
        <v>0</v>
      </c>
      <c r="BH18" s="47">
        <f>INDEX(Direct_Cost_Splits_Network,MATCH($H18,RIN_Asset_Cat_Network,0),MATCH($BK$4,Direct_Cost_Type,0))*$O18*INDEX(Act_Type_Augex_Splits,MATCH($I18,Act_Type_Augex,0),MATCH(BH$4,Mat_Type,0))*INDEX(Escalators!$I$44:$U$49,MATCH(BH$4,Escalators!$C$44:$C$49,0),MATCH(BH$5,Escalators!$I$43:$U$43,0))</f>
        <v>0</v>
      </c>
      <c r="BI18" s="47">
        <f>INDEX(Direct_Cost_Splits_Network,MATCH($H18,RIN_Asset_Cat_Network,0),MATCH($BK$4,Direct_Cost_Type,0))*$O18*INDEX(Act_Type_Augex_Splits,MATCH($I18,Act_Type_Augex,0),MATCH(BI$4,Mat_Type,0))*INDEX(Escalators!$I$44:$U$49,MATCH(BI$4,Escalators!$C$44:$C$49,0),MATCH(BI$5,Escalators!$I$43:$U$43,0))</f>
        <v>0</v>
      </c>
      <c r="BJ18" s="47">
        <f>INDEX(Direct_Cost_Splits_Network,MATCH($H18,RIN_Asset_Cat_Network,0),MATCH($BK$4,Direct_Cost_Type,0))*$O18*INDEX(Act_Type_Augex_Splits,MATCH($I18,Act_Type_Augex,0),MATCH(BJ$4,Mat_Type,0))*INDEX(Escalators!$I$44:$U$49,MATCH(BJ$4,Escalators!$C$44:$C$49,0),MATCH(BJ$5,Escalators!$I$43:$U$43,0))</f>
        <v>0</v>
      </c>
      <c r="BK18" s="47">
        <f t="shared" si="11"/>
        <v>0</v>
      </c>
      <c r="BL18" s="47">
        <f>INDEX(Direct_Cost_Splits_Network,MATCH($H18,RIN_Asset_Cat_Network,0),MATCH($BQ$4,Direct_Cost_Type,0))*$P18*INDEX(Act_Type_Augex_Splits,MATCH($I18,Act_Type_Augex,0),MATCH(BL$4,Mat_Type,0))*INDEX(Escalators!$I$44:$U$49,MATCH(BL$4,Escalators!$C$44:$C$49,0),MATCH(BL$5,Escalators!$I$43:$U$43,0))</f>
        <v>0</v>
      </c>
      <c r="BM18" s="47">
        <f>INDEX(Direct_Cost_Splits_Network,MATCH($H18,RIN_Asset_Cat_Network,0),MATCH($BQ$4,Direct_Cost_Type,0))*$P18*INDEX(Act_Type_Augex_Splits,MATCH($I18,Act_Type_Augex,0),MATCH(BM$4,Mat_Type,0))*INDEX(Escalators!$I$44:$U$49,MATCH(BM$4,Escalators!$C$44:$C$49,0),MATCH(BM$5,Escalators!$I$43:$U$43,0))</f>
        <v>0</v>
      </c>
      <c r="BN18" s="47">
        <f>INDEX(Direct_Cost_Splits_Network,MATCH($H18,RIN_Asset_Cat_Network,0),MATCH($BQ$4,Direct_Cost_Type,0))*$P18*INDEX(Act_Type_Augex_Splits,MATCH($I18,Act_Type_Augex,0),MATCH(BN$4,Mat_Type,0))*INDEX(Escalators!$I$44:$U$49,MATCH(BN$4,Escalators!$C$44:$C$49,0),MATCH(BN$5,Escalators!$I$43:$U$43,0))</f>
        <v>0</v>
      </c>
      <c r="BO18" s="47">
        <f>INDEX(Direct_Cost_Splits_Network,MATCH($H18,RIN_Asset_Cat_Network,0),MATCH($BQ$4,Direct_Cost_Type,0))*$P18*INDEX(Act_Type_Augex_Splits,MATCH($I18,Act_Type_Augex,0),MATCH(BO$4,Mat_Type,0))*INDEX(Escalators!$I$44:$U$49,MATCH(BO$4,Escalators!$C$44:$C$49,0),MATCH(BO$5,Escalators!$I$43:$U$43,0))</f>
        <v>0</v>
      </c>
      <c r="BP18" s="47">
        <f>INDEX(Direct_Cost_Splits_Network,MATCH($H18,RIN_Asset_Cat_Network,0),MATCH($BQ$4,Direct_Cost_Type,0))*$P18*INDEX(Act_Type_Augex_Splits,MATCH($I18,Act_Type_Augex,0),MATCH(BP$4,Mat_Type,0))*INDEX(Escalators!$I$44:$U$49,MATCH(BP$4,Escalators!$C$44:$C$49,0),MATCH(BP$5,Escalators!$I$43:$U$43,0))</f>
        <v>0</v>
      </c>
      <c r="BQ18" s="47">
        <f t="shared" si="12"/>
        <v>0</v>
      </c>
      <c r="BR18" s="47">
        <f>INDEX(Direct_Cost_Splits_Network,MATCH($H18,RIN_Asset_Cat_Network,0),MATCH($BW$4,Direct_Cost_Type,0))*$Q18*INDEX(Act_Type_Augex_Splits,MATCH($I18,Act_Type_Augex,0),MATCH(BR$4,Mat_Type,0))*INDEX(Escalators!$I$44:$U$49,MATCH(BR$4,Escalators!$C$44:$C$49,0),MATCH(BR$5,Escalators!$I$43:$U$43,0))</f>
        <v>0</v>
      </c>
      <c r="BS18" s="47">
        <f>INDEX(Direct_Cost_Splits_Network,MATCH($H18,RIN_Asset_Cat_Network,0),MATCH($BW$4,Direct_Cost_Type,0))*$Q18*INDEX(Act_Type_Augex_Splits,MATCH($I18,Act_Type_Augex,0),MATCH(BS$4,Mat_Type,0))*INDEX(Escalators!$I$44:$U$49,MATCH(BS$4,Escalators!$C$44:$C$49,0),MATCH(BS$5,Escalators!$I$43:$U$43,0))</f>
        <v>0</v>
      </c>
      <c r="BT18" s="47">
        <f>INDEX(Direct_Cost_Splits_Network,MATCH($H18,RIN_Asset_Cat_Network,0),MATCH($BW$4,Direct_Cost_Type,0))*$Q18*INDEX(Act_Type_Augex_Splits,MATCH($I18,Act_Type_Augex,0),MATCH(BT$4,Mat_Type,0))*INDEX(Escalators!$I$44:$U$49,MATCH(BT$4,Escalators!$C$44:$C$49,0),MATCH(BT$5,Escalators!$I$43:$U$43,0))</f>
        <v>0</v>
      </c>
      <c r="BU18" s="47">
        <f>INDEX(Direct_Cost_Splits_Network,MATCH($H18,RIN_Asset_Cat_Network,0),MATCH($BW$4,Direct_Cost_Type,0))*$Q18*INDEX(Act_Type_Augex_Splits,MATCH($I18,Act_Type_Augex,0),MATCH(BU$4,Mat_Type,0))*INDEX(Escalators!$I$44:$U$49,MATCH(BU$4,Escalators!$C$44:$C$49,0),MATCH(BU$5,Escalators!$I$43:$U$43,0))</f>
        <v>0</v>
      </c>
      <c r="BV18" s="47">
        <f>INDEX(Direct_Cost_Splits_Network,MATCH($H18,RIN_Asset_Cat_Network,0),MATCH($BW$4,Direct_Cost_Type,0))*$Q18*INDEX(Act_Type_Augex_Splits,MATCH($I18,Act_Type_Augex,0),MATCH(BV$4,Mat_Type,0))*INDEX(Escalators!$I$44:$U$49,MATCH(BV$4,Escalators!$C$44:$C$49,0),MATCH(BV$5,Escalators!$I$43:$U$43,0))</f>
        <v>0</v>
      </c>
      <c r="BW18" s="47">
        <f t="shared" si="13"/>
        <v>0</v>
      </c>
      <c r="BY18" s="47">
        <f>INDEX(Direct_Cost_Splits_Network,MATCH($H18,RIN_Asset_Cat_Network,0),MATCH($BY$4,Direct_Cost_Type,0))*J18*HLOOKUP(BY$5,Escalators!$I$25:$U$30,6,FALSE)</f>
        <v>0</v>
      </c>
      <c r="BZ18" s="47">
        <f>INDEX(Direct_Cost_Splits_Network,MATCH($H18,RIN_Asset_Cat_Network,0),MATCH($BY$4,Direct_Cost_Type,0))*K18*HLOOKUP(BZ$5,Escalators!$I$25:$U$30,6,FALSE)</f>
        <v>0</v>
      </c>
      <c r="CA18" s="47">
        <f>INDEX(Direct_Cost_Splits_Network,MATCH($H18,RIN_Asset_Cat_Network,0),MATCH($BY$4,Direct_Cost_Type,0))*L18*HLOOKUP(CA$5,Escalators!$I$25:$U$30,6,FALSE)</f>
        <v>0</v>
      </c>
      <c r="CB18" s="47">
        <f>INDEX(Direct_Cost_Splits_Network,MATCH($H18,RIN_Asset_Cat_Network,0),MATCH($BY$4,Direct_Cost_Type,0))*M18*HLOOKUP(CB$5,Escalators!$I$25:$U$30,6,FALSE)</f>
        <v>0</v>
      </c>
      <c r="CC18" s="47">
        <f>INDEX(Direct_Cost_Splits_Network,MATCH($H18,RIN_Asset_Cat_Network,0),MATCH($BY$4,Direct_Cost_Type,0))*N18*HLOOKUP(CC$5,Escalators!$I$25:$U$30,6,FALSE)</f>
        <v>0</v>
      </c>
      <c r="CD18" s="47">
        <f>INDEX(Direct_Cost_Splits_Network,MATCH($H18,RIN_Asset_Cat_Network,0),MATCH($BY$4,Direct_Cost_Type,0))*O18*HLOOKUP(CD$5,Escalators!$I$25:$U$30,6,FALSE)</f>
        <v>0</v>
      </c>
      <c r="CE18" s="47">
        <f>INDEX(Direct_Cost_Splits_Network,MATCH($H18,RIN_Asset_Cat_Network,0),MATCH($BY$4,Direct_Cost_Type,0))*P18*HLOOKUP(CE$5,Escalators!$I$25:$U$30,6,FALSE)</f>
        <v>0</v>
      </c>
      <c r="CF18" s="47">
        <f>INDEX(Direct_Cost_Splits_Network,MATCH($H18,RIN_Asset_Cat_Network,0),MATCH($BY$4,Direct_Cost_Type,0))*Q18*HLOOKUP(CF$5,Escalators!$I$25:$U$30,6,FALSE)</f>
        <v>0</v>
      </c>
      <c r="CH18" s="47">
        <f t="shared" si="26"/>
        <v>0</v>
      </c>
      <c r="CI18" s="47">
        <f t="shared" si="27"/>
        <v>0</v>
      </c>
      <c r="CJ18" s="47">
        <f t="shared" si="28"/>
        <v>0</v>
      </c>
      <c r="CK18" s="47">
        <f t="shared" si="29"/>
        <v>0</v>
      </c>
      <c r="CL18" s="47">
        <f t="shared" si="30"/>
        <v>0</v>
      </c>
      <c r="CM18" s="47">
        <f t="shared" si="31"/>
        <v>0</v>
      </c>
      <c r="CN18" s="47">
        <f t="shared" si="32"/>
        <v>0</v>
      </c>
      <c r="CO18" s="47">
        <f t="shared" si="33"/>
        <v>0</v>
      </c>
      <c r="CQ18" s="373">
        <f t="shared" si="15"/>
        <v>0</v>
      </c>
      <c r="CR18" s="47">
        <f t="shared" si="16"/>
        <v>0</v>
      </c>
      <c r="CS18" s="47">
        <f t="shared" si="17"/>
        <v>0</v>
      </c>
      <c r="CT18" s="47">
        <f t="shared" si="18"/>
        <v>0</v>
      </c>
      <c r="CU18" s="47">
        <f t="shared" si="19"/>
        <v>0</v>
      </c>
      <c r="CV18" s="47">
        <f t="shared" si="20"/>
        <v>0</v>
      </c>
      <c r="CW18" s="47">
        <f t="shared" si="21"/>
        <v>0</v>
      </c>
      <c r="CX18" s="47">
        <f t="shared" si="22"/>
        <v>0</v>
      </c>
      <c r="CZ18" s="39"/>
    </row>
    <row r="19" spans="2:104" x14ac:dyDescent="0.3">
      <c r="B19" s="7" t="s">
        <v>429</v>
      </c>
      <c r="C19" s="7" t="s">
        <v>422</v>
      </c>
      <c r="D19" s="7" t="s">
        <v>542</v>
      </c>
      <c r="E19" s="7" t="s">
        <v>45</v>
      </c>
      <c r="F19" s="7" t="s">
        <v>51</v>
      </c>
      <c r="G19" s="7" t="s">
        <v>10</v>
      </c>
      <c r="H19" s="7" t="s">
        <v>164</v>
      </c>
      <c r="I19" s="7" t="s">
        <v>214</v>
      </c>
      <c r="J19" s="45"/>
      <c r="K19" s="45"/>
      <c r="L19" s="45"/>
      <c r="M19" s="45"/>
      <c r="N19" s="45"/>
      <c r="O19" s="45"/>
      <c r="P19" s="45"/>
      <c r="Q19" s="45"/>
      <c r="S19" s="47">
        <f>INDEX(Direct_Cost_Splits_Network,MATCH($H19,RIN_Asset_Cat_Network,0),MATCH($S$4,Direct_Cost_Type,0))*J19*HLOOKUP(S$5,Escalators!$I$25:$U$30,3,FALSE)</f>
        <v>0</v>
      </c>
      <c r="T19" s="47">
        <f>INDEX(Direct_Cost_Splits_Network,MATCH($H19,RIN_Asset_Cat_Network,0),MATCH($S$4,Direct_Cost_Type,0))*K19*HLOOKUP(T$5,Escalators!$I$25:$U$30,3,FALSE)</f>
        <v>0</v>
      </c>
      <c r="U19" s="47">
        <f>INDEX(Direct_Cost_Splits_Network,MATCH($H19,RIN_Asset_Cat_Network,0),MATCH($S$4,Direct_Cost_Type,0))*L19*HLOOKUP(U$5,Escalators!$I$25:$U$30,3,FALSE)</f>
        <v>0</v>
      </c>
      <c r="V19" s="47">
        <f>INDEX(Direct_Cost_Splits_Network,MATCH($H19,RIN_Asset_Cat_Network,0),MATCH($S$4,Direct_Cost_Type,0))*M19*HLOOKUP(V$5,Escalators!$I$25:$U$30,3,FALSE)</f>
        <v>0</v>
      </c>
      <c r="W19" s="47">
        <f>INDEX(Direct_Cost_Splits_Network,MATCH($H19,RIN_Asset_Cat_Network,0),MATCH($S$4,Direct_Cost_Type,0))*N19*HLOOKUP(W$5,Escalators!$I$25:$U$30,3,FALSE)</f>
        <v>0</v>
      </c>
      <c r="X19" s="47">
        <f>INDEX(Direct_Cost_Splits_Network,MATCH($H19,RIN_Asset_Cat_Network,0),MATCH($S$4,Direct_Cost_Type,0))*O19*HLOOKUP(X$5,Escalators!$I$25:$U$30,3,FALSE)</f>
        <v>0</v>
      </c>
      <c r="Y19" s="47">
        <f>INDEX(Direct_Cost_Splits_Network,MATCH($H19,RIN_Asset_Cat_Network,0),MATCH($S$4,Direct_Cost_Type,0))*P19*HLOOKUP(Y$5,Escalators!$I$25:$U$30,3,FALSE)</f>
        <v>0</v>
      </c>
      <c r="Z19" s="47">
        <f>INDEX(Direct_Cost_Splits_Network,MATCH($H19,RIN_Asset_Cat_Network,0),MATCH($S$4,Direct_Cost_Type,0))*Q19*HLOOKUP(Z$5,Escalators!$I$25:$U$30,3,FALSE)</f>
        <v>0</v>
      </c>
      <c r="AB19" s="6">
        <f>INDEX(Direct_Cost_Splits_Network,MATCH($H19,RIN_Asset_Cat_Network,0),MATCH($AG$4,Direct_Cost_Type,0))*$J19*INDEX(Act_Type_Augex_Splits,MATCH($I19,Act_Type_Augex,0),MATCH(AB$4,Mat_Type,0))*INDEX(Escalators!$I$44:$U$49,MATCH(AB$4,Escalators!$C$44:$C$49,0),MATCH(AB$5,Escalators!$I$43:$U$43,0))</f>
        <v>0</v>
      </c>
      <c r="AC19" s="6">
        <f>INDEX(Direct_Cost_Splits_Network,MATCH($H19,RIN_Asset_Cat_Network,0),MATCH($AG$4,Direct_Cost_Type,0))*$J19*INDEX(Act_Type_Augex_Splits,MATCH($I19,Act_Type_Augex,0),MATCH(AC$4,Mat_Type,0))*INDEX(Escalators!$I$44:$U$49,MATCH(AC$4,Escalators!$C$44:$C$49,0),MATCH(AC$5,Escalators!$I$43:$U$43,0))</f>
        <v>0</v>
      </c>
      <c r="AD19" s="6">
        <f>INDEX(Direct_Cost_Splits_Network,MATCH($H19,RIN_Asset_Cat_Network,0),MATCH($AG$4,Direct_Cost_Type,0))*$J19*INDEX(Act_Type_Augex_Splits,MATCH($I19,Act_Type_Augex,0),MATCH(AD$4,Mat_Type,0))*INDEX(Escalators!$I$44:$U$49,MATCH(AD$4,Escalators!$C$44:$C$49,0),MATCH(AD$5,Escalators!$I$43:$U$43,0))</f>
        <v>0</v>
      </c>
      <c r="AE19" s="6">
        <f>INDEX(Direct_Cost_Splits_Network,MATCH($H19,RIN_Asset_Cat_Network,0),MATCH($AG$4,Direct_Cost_Type,0))*$J19*INDEX(Act_Type_Augex_Splits,MATCH($I19,Act_Type_Augex,0),MATCH(AE$4,Mat_Type,0))*INDEX(Escalators!$I$44:$U$49,MATCH(AE$4,Escalators!$C$44:$C$49,0),MATCH(AE$5,Escalators!$I$43:$U$43,0))</f>
        <v>0</v>
      </c>
      <c r="AF19" s="6">
        <f>INDEX(Direct_Cost_Splits_Network,MATCH($H19,RIN_Asset_Cat_Network,0),MATCH($AG$4,Direct_Cost_Type,0))*$J19*INDEX(Act_Type_Augex_Splits,MATCH($I19,Act_Type_Augex,0),MATCH(AF$4,Mat_Type,0))*INDEX(Escalators!$I$44:$U$49,MATCH(AF$4,Escalators!$C$44:$C$49,0),MATCH(AF$5,Escalators!$I$43:$U$43,0))</f>
        <v>0</v>
      </c>
      <c r="AG19" s="47">
        <f t="shared" si="23"/>
        <v>0</v>
      </c>
      <c r="AH19" s="47">
        <f>INDEX(Direct_Cost_Splits_Network,MATCH($H19,RIN_Asset_Cat_Network,0),MATCH($AY$4,Direct_Cost_Type,0))*$K19*INDEX(Act_Type_Augex_Splits,MATCH($I19,Act_Type_Augex,0),MATCH(AH$4,Mat_Type,0))*INDEX(Escalators!$I$44:$U$49,MATCH(AH$4,Escalators!$C$44:$C$49,0),MATCH(AH$5,Escalators!$I$43:$U$43,0))</f>
        <v>0</v>
      </c>
      <c r="AI19" s="47">
        <f>INDEX(Direct_Cost_Splits_Network,MATCH($H19,RIN_Asset_Cat_Network,0),MATCH($AY$4,Direct_Cost_Type,0))*$K19*INDEX(Act_Type_Augex_Splits,MATCH($I19,Act_Type_Augex,0),MATCH(AI$4,Mat_Type,0))*INDEX(Escalators!$I$44:$U$49,MATCH(AI$4,Escalators!$C$44:$C$49,0),MATCH(AI$5,Escalators!$I$43:$U$43,0))</f>
        <v>0</v>
      </c>
      <c r="AJ19" s="47">
        <f>INDEX(Direct_Cost_Splits_Network,MATCH($H19,RIN_Asset_Cat_Network,0),MATCH($AY$4,Direct_Cost_Type,0))*$K19*INDEX(Act_Type_Augex_Splits,MATCH($I19,Act_Type_Augex,0),MATCH(AJ$4,Mat_Type,0))*INDEX(Escalators!$I$44:$U$49,MATCH(AJ$4,Escalators!$C$44:$C$49,0),MATCH(AJ$5,Escalators!$I$43:$U$43,0))</f>
        <v>0</v>
      </c>
      <c r="AK19" s="47">
        <f>INDEX(Direct_Cost_Splits_Network,MATCH($H19,RIN_Asset_Cat_Network,0),MATCH($AY$4,Direct_Cost_Type,0))*$K19*INDEX(Act_Type_Augex_Splits,MATCH($I19,Act_Type_Augex,0),MATCH(AK$4,Mat_Type,0))*INDEX(Escalators!$I$44:$U$49,MATCH(AK$4,Escalators!$C$44:$C$49,0),MATCH(AK$5,Escalators!$I$43:$U$43,0))</f>
        <v>0</v>
      </c>
      <c r="AL19" s="47">
        <f>INDEX(Direct_Cost_Splits_Network,MATCH($H19,RIN_Asset_Cat_Network,0),MATCH($AY$4,Direct_Cost_Type,0))*$K19*INDEX(Act_Type_Augex_Splits,MATCH($I19,Act_Type_Augex,0),MATCH(AL$4,Mat_Type,0))*INDEX(Escalators!$I$44:$U$49,MATCH(AL$4,Escalators!$C$44:$C$49,0),MATCH(AL$5,Escalators!$I$43:$U$43,0))</f>
        <v>0</v>
      </c>
      <c r="AM19" s="47">
        <f t="shared" si="24"/>
        <v>0</v>
      </c>
      <c r="AN19" s="47">
        <f>INDEX(Direct_Cost_Splits_Network,MATCH($H19,RIN_Asset_Cat_Network,0),MATCH($AY$4,Direct_Cost_Type,0))*$L19*INDEX(Act_Type_Augex_Splits,MATCH($I19,Act_Type_Augex,0),MATCH(AN$4,Mat_Type,0))*INDEX(Escalators!$I$44:$U$49,MATCH(AN$4,Escalators!$C$44:$C$49,0),MATCH(AN$5,Escalators!$I$43:$U$43,0))</f>
        <v>0</v>
      </c>
      <c r="AO19" s="47">
        <f>INDEX(Direct_Cost_Splits_Network,MATCH($H19,RIN_Asset_Cat_Network,0),MATCH($AY$4,Direct_Cost_Type,0))*$L19*INDEX(Act_Type_Augex_Splits,MATCH($I19,Act_Type_Augex,0),MATCH(AO$4,Mat_Type,0))*INDEX(Escalators!$I$44:$U$49,MATCH(AO$4,Escalators!$C$44:$C$49,0),MATCH(AO$5,Escalators!$I$43:$U$43,0))</f>
        <v>0</v>
      </c>
      <c r="AP19" s="47">
        <f>INDEX(Direct_Cost_Splits_Network,MATCH($H19,RIN_Asset_Cat_Network,0),MATCH($AY$4,Direct_Cost_Type,0))*$L19*INDEX(Act_Type_Augex_Splits,MATCH($I19,Act_Type_Augex,0),MATCH(AP$4,Mat_Type,0))*INDEX(Escalators!$I$44:$U$49,MATCH(AP$4,Escalators!$C$44:$C$49,0),MATCH(AP$5,Escalators!$I$43:$U$43,0))</f>
        <v>0</v>
      </c>
      <c r="AQ19" s="47">
        <f>INDEX(Direct_Cost_Splits_Network,MATCH($H19,RIN_Asset_Cat_Network,0),MATCH($AY$4,Direct_Cost_Type,0))*$L19*INDEX(Act_Type_Augex_Splits,MATCH($I19,Act_Type_Augex,0),MATCH(AQ$4,Mat_Type,0))*INDEX(Escalators!$I$44:$U$49,MATCH(AQ$4,Escalators!$C$44:$C$49,0),MATCH(AQ$5,Escalators!$I$43:$U$43,0))</f>
        <v>0</v>
      </c>
      <c r="AR19" s="47">
        <f>INDEX(Direct_Cost_Splits_Network,MATCH($H19,RIN_Asset_Cat_Network,0),MATCH($AY$4,Direct_Cost_Type,0))*$L19*INDEX(Act_Type_Augex_Splits,MATCH($I19,Act_Type_Augex,0),MATCH(AR$4,Mat_Type,0))*INDEX(Escalators!$I$44:$U$49,MATCH(AR$4,Escalators!$C$44:$C$49,0),MATCH(AR$5,Escalators!$I$43:$U$43,0))</f>
        <v>0</v>
      </c>
      <c r="AS19" s="47">
        <f t="shared" si="8"/>
        <v>0</v>
      </c>
      <c r="AT19" s="47">
        <f>INDEX(Direct_Cost_Splits_Network,MATCH($H19,RIN_Asset_Cat_Network,0),MATCH($AY$4,Direct_Cost_Type,0))*$M19*INDEX(Act_Type_Augex_Splits,MATCH($I19,Act_Type_Augex,0),MATCH(AT$4,Mat_Type,0))*INDEX(Escalators!$I$44:$U$49,MATCH(AT$4,Escalators!$C$44:$C$49,0),MATCH(AT$5,Escalators!$I$43:$U$43,0))</f>
        <v>0</v>
      </c>
      <c r="AU19" s="47">
        <f>INDEX(Direct_Cost_Splits_Network,MATCH($H19,RIN_Asset_Cat_Network,0),MATCH($AY$4,Direct_Cost_Type,0))*$M19*INDEX(Act_Type_Augex_Splits,MATCH($I19,Act_Type_Augex,0),MATCH(AU$4,Mat_Type,0))*INDEX(Escalators!$I$44:$U$49,MATCH(AU$4,Escalators!$C$44:$C$49,0),MATCH(AU$5,Escalators!$I$43:$U$43,0))</f>
        <v>0</v>
      </c>
      <c r="AV19" s="47">
        <f>INDEX(Direct_Cost_Splits_Network,MATCH($H19,RIN_Asset_Cat_Network,0),MATCH($AY$4,Direct_Cost_Type,0))*$M19*INDEX(Act_Type_Augex_Splits,MATCH($I19,Act_Type_Augex,0),MATCH(AV$4,Mat_Type,0))*INDEX(Escalators!$I$44:$U$49,MATCH(AV$4,Escalators!$C$44:$C$49,0),MATCH(AV$5,Escalators!$I$43:$U$43,0))</f>
        <v>0</v>
      </c>
      <c r="AW19" s="47">
        <f>INDEX(Direct_Cost_Splits_Network,MATCH($H19,RIN_Asset_Cat_Network,0),MATCH($AY$4,Direct_Cost_Type,0))*$M19*INDEX(Act_Type_Augex_Splits,MATCH($I19,Act_Type_Augex,0),MATCH(AW$4,Mat_Type,0))*INDEX(Escalators!$I$44:$U$49,MATCH(AW$4,Escalators!$C$44:$C$49,0),MATCH(AW$5,Escalators!$I$43:$U$43,0))</f>
        <v>0</v>
      </c>
      <c r="AX19" s="47">
        <f>INDEX(Direct_Cost_Splits_Network,MATCH($H19,RIN_Asset_Cat_Network,0),MATCH($AY$4,Direct_Cost_Type,0))*$M19*INDEX(Act_Type_Augex_Splits,MATCH($I19,Act_Type_Augex,0),MATCH(AX$4,Mat_Type,0))*INDEX(Escalators!$I$44:$U$49,MATCH(AX$4,Escalators!$C$44:$C$49,0),MATCH(AX$5,Escalators!$I$43:$U$43,0))</f>
        <v>0</v>
      </c>
      <c r="AY19" s="47">
        <f t="shared" si="9"/>
        <v>0</v>
      </c>
      <c r="AZ19" s="47">
        <f>INDEX(Direct_Cost_Splits_Network,MATCH($H19,RIN_Asset_Cat_Network,0),MATCH($BE$4,Direct_Cost_Type,0))*$N19*INDEX(Act_Type_Augex_Splits,MATCH($I19,Act_Type_Augex,0),MATCH(AZ$4,Mat_Type,0))*INDEX(Escalators!$I$44:$U$49,MATCH(AZ$4,Escalators!$C$44:$C$49,0),MATCH(AZ$5,Escalators!$I$43:$U$43,0))</f>
        <v>0</v>
      </c>
      <c r="BA19" s="47">
        <f>INDEX(Direct_Cost_Splits_Network,MATCH($H19,RIN_Asset_Cat_Network,0),MATCH($BE$4,Direct_Cost_Type,0))*$N19*INDEX(Act_Type_Augex_Splits,MATCH($I19,Act_Type_Augex,0),MATCH(BA$4,Mat_Type,0))*INDEX(Escalators!$I$44:$U$49,MATCH(BA$4,Escalators!$C$44:$C$49,0),MATCH(BA$5,Escalators!$I$43:$U$43,0))</f>
        <v>0</v>
      </c>
      <c r="BB19" s="47">
        <f>INDEX(Direct_Cost_Splits_Network,MATCH($H19,RIN_Asset_Cat_Network,0),MATCH($BE$4,Direct_Cost_Type,0))*$N19*INDEX(Act_Type_Augex_Splits,MATCH($I19,Act_Type_Augex,0),MATCH(BB$4,Mat_Type,0))*INDEX(Escalators!$I$44:$U$49,MATCH(BB$4,Escalators!$C$44:$C$49,0),MATCH(BB$5,Escalators!$I$43:$U$43,0))</f>
        <v>0</v>
      </c>
      <c r="BC19" s="47">
        <f>INDEX(Direct_Cost_Splits_Network,MATCH($H19,RIN_Asset_Cat_Network,0),MATCH($BE$4,Direct_Cost_Type,0))*$N19*INDEX(Act_Type_Augex_Splits,MATCH($I19,Act_Type_Augex,0),MATCH(BC$4,Mat_Type,0))*INDEX(Escalators!$I$44:$U$49,MATCH(BC$4,Escalators!$C$44:$C$49,0),MATCH(BC$5,Escalators!$I$43:$U$43,0))</f>
        <v>0</v>
      </c>
      <c r="BD19" s="47">
        <f>INDEX(Direct_Cost_Splits_Network,MATCH($H19,RIN_Asset_Cat_Network,0),MATCH($BE$4,Direct_Cost_Type,0))*$N19*INDEX(Act_Type_Augex_Splits,MATCH($I19,Act_Type_Augex,0),MATCH(BD$4,Mat_Type,0))*INDEX(Escalators!$I$44:$U$49,MATCH(BD$4,Escalators!$C$44:$C$49,0),MATCH(BD$5,Escalators!$I$43:$U$43,0))</f>
        <v>0</v>
      </c>
      <c r="BE19" s="47">
        <f t="shared" si="10"/>
        <v>0</v>
      </c>
      <c r="BF19" s="47">
        <f>INDEX(Direct_Cost_Splits_Network,MATCH($H19,RIN_Asset_Cat_Network,0),MATCH($BK$4,Direct_Cost_Type,0))*$O19*INDEX(Act_Type_Augex_Splits,MATCH($I19,Act_Type_Augex,0),MATCH(BF$4,Mat_Type,0))*INDEX(Escalators!$I$44:$U$49,MATCH(BF$4,Escalators!$C$44:$C$49,0),MATCH(BF$5,Escalators!$I$43:$U$43,0))</f>
        <v>0</v>
      </c>
      <c r="BG19" s="47">
        <f>INDEX(Direct_Cost_Splits_Network,MATCH($H19,RIN_Asset_Cat_Network,0),MATCH($BK$4,Direct_Cost_Type,0))*$O19*INDEX(Act_Type_Augex_Splits,MATCH($I19,Act_Type_Augex,0),MATCH(BG$4,Mat_Type,0))*INDEX(Escalators!$I$44:$U$49,MATCH(BG$4,Escalators!$C$44:$C$49,0),MATCH(BG$5,Escalators!$I$43:$U$43,0))</f>
        <v>0</v>
      </c>
      <c r="BH19" s="47">
        <f>INDEX(Direct_Cost_Splits_Network,MATCH($H19,RIN_Asset_Cat_Network,0),MATCH($BK$4,Direct_Cost_Type,0))*$O19*INDEX(Act_Type_Augex_Splits,MATCH($I19,Act_Type_Augex,0),MATCH(BH$4,Mat_Type,0))*INDEX(Escalators!$I$44:$U$49,MATCH(BH$4,Escalators!$C$44:$C$49,0),MATCH(BH$5,Escalators!$I$43:$U$43,0))</f>
        <v>0</v>
      </c>
      <c r="BI19" s="47">
        <f>INDEX(Direct_Cost_Splits_Network,MATCH($H19,RIN_Asset_Cat_Network,0),MATCH($BK$4,Direct_Cost_Type,0))*$O19*INDEX(Act_Type_Augex_Splits,MATCH($I19,Act_Type_Augex,0),MATCH(BI$4,Mat_Type,0))*INDEX(Escalators!$I$44:$U$49,MATCH(BI$4,Escalators!$C$44:$C$49,0),MATCH(BI$5,Escalators!$I$43:$U$43,0))</f>
        <v>0</v>
      </c>
      <c r="BJ19" s="47">
        <f>INDEX(Direct_Cost_Splits_Network,MATCH($H19,RIN_Asset_Cat_Network,0),MATCH($BK$4,Direct_Cost_Type,0))*$O19*INDEX(Act_Type_Augex_Splits,MATCH($I19,Act_Type_Augex,0),MATCH(BJ$4,Mat_Type,0))*INDEX(Escalators!$I$44:$U$49,MATCH(BJ$4,Escalators!$C$44:$C$49,0),MATCH(BJ$5,Escalators!$I$43:$U$43,0))</f>
        <v>0</v>
      </c>
      <c r="BK19" s="47">
        <f t="shared" si="11"/>
        <v>0</v>
      </c>
      <c r="BL19" s="47">
        <f>INDEX(Direct_Cost_Splits_Network,MATCH($H19,RIN_Asset_Cat_Network,0),MATCH($BQ$4,Direct_Cost_Type,0))*$P19*INDEX(Act_Type_Augex_Splits,MATCH($I19,Act_Type_Augex,0),MATCH(BL$4,Mat_Type,0))*INDEX(Escalators!$I$44:$U$49,MATCH(BL$4,Escalators!$C$44:$C$49,0),MATCH(BL$5,Escalators!$I$43:$U$43,0))</f>
        <v>0</v>
      </c>
      <c r="BM19" s="47">
        <f>INDEX(Direct_Cost_Splits_Network,MATCH($H19,RIN_Asset_Cat_Network,0),MATCH($BQ$4,Direct_Cost_Type,0))*$P19*INDEX(Act_Type_Augex_Splits,MATCH($I19,Act_Type_Augex,0),MATCH(BM$4,Mat_Type,0))*INDEX(Escalators!$I$44:$U$49,MATCH(BM$4,Escalators!$C$44:$C$49,0),MATCH(BM$5,Escalators!$I$43:$U$43,0))</f>
        <v>0</v>
      </c>
      <c r="BN19" s="47">
        <f>INDEX(Direct_Cost_Splits_Network,MATCH($H19,RIN_Asset_Cat_Network,0),MATCH($BQ$4,Direct_Cost_Type,0))*$P19*INDEX(Act_Type_Augex_Splits,MATCH($I19,Act_Type_Augex,0),MATCH(BN$4,Mat_Type,0))*INDEX(Escalators!$I$44:$U$49,MATCH(BN$4,Escalators!$C$44:$C$49,0),MATCH(BN$5,Escalators!$I$43:$U$43,0))</f>
        <v>0</v>
      </c>
      <c r="BO19" s="47">
        <f>INDEX(Direct_Cost_Splits_Network,MATCH($H19,RIN_Asset_Cat_Network,0),MATCH($BQ$4,Direct_Cost_Type,0))*$P19*INDEX(Act_Type_Augex_Splits,MATCH($I19,Act_Type_Augex,0),MATCH(BO$4,Mat_Type,0))*INDEX(Escalators!$I$44:$U$49,MATCH(BO$4,Escalators!$C$44:$C$49,0),MATCH(BO$5,Escalators!$I$43:$U$43,0))</f>
        <v>0</v>
      </c>
      <c r="BP19" s="47">
        <f>INDEX(Direct_Cost_Splits_Network,MATCH($H19,RIN_Asset_Cat_Network,0),MATCH($BQ$4,Direct_Cost_Type,0))*$P19*INDEX(Act_Type_Augex_Splits,MATCH($I19,Act_Type_Augex,0),MATCH(BP$4,Mat_Type,0))*INDEX(Escalators!$I$44:$U$49,MATCH(BP$4,Escalators!$C$44:$C$49,0),MATCH(BP$5,Escalators!$I$43:$U$43,0))</f>
        <v>0</v>
      </c>
      <c r="BQ19" s="47">
        <f t="shared" si="12"/>
        <v>0</v>
      </c>
      <c r="BR19" s="47">
        <f>INDEX(Direct_Cost_Splits_Network,MATCH($H19,RIN_Asset_Cat_Network,0),MATCH($BW$4,Direct_Cost_Type,0))*$Q19*INDEX(Act_Type_Augex_Splits,MATCH($I19,Act_Type_Augex,0),MATCH(BR$4,Mat_Type,0))*INDEX(Escalators!$I$44:$U$49,MATCH(BR$4,Escalators!$C$44:$C$49,0),MATCH(BR$5,Escalators!$I$43:$U$43,0))</f>
        <v>0</v>
      </c>
      <c r="BS19" s="47">
        <f>INDEX(Direct_Cost_Splits_Network,MATCH($H19,RIN_Asset_Cat_Network,0),MATCH($BW$4,Direct_Cost_Type,0))*$Q19*INDEX(Act_Type_Augex_Splits,MATCH($I19,Act_Type_Augex,0),MATCH(BS$4,Mat_Type,0))*INDEX(Escalators!$I$44:$U$49,MATCH(BS$4,Escalators!$C$44:$C$49,0),MATCH(BS$5,Escalators!$I$43:$U$43,0))</f>
        <v>0</v>
      </c>
      <c r="BT19" s="47">
        <f>INDEX(Direct_Cost_Splits_Network,MATCH($H19,RIN_Asset_Cat_Network,0),MATCH($BW$4,Direct_Cost_Type,0))*$Q19*INDEX(Act_Type_Augex_Splits,MATCH($I19,Act_Type_Augex,0),MATCH(BT$4,Mat_Type,0))*INDEX(Escalators!$I$44:$U$49,MATCH(BT$4,Escalators!$C$44:$C$49,0),MATCH(BT$5,Escalators!$I$43:$U$43,0))</f>
        <v>0</v>
      </c>
      <c r="BU19" s="47">
        <f>INDEX(Direct_Cost_Splits_Network,MATCH($H19,RIN_Asset_Cat_Network,0),MATCH($BW$4,Direct_Cost_Type,0))*$Q19*INDEX(Act_Type_Augex_Splits,MATCH($I19,Act_Type_Augex,0),MATCH(BU$4,Mat_Type,0))*INDEX(Escalators!$I$44:$U$49,MATCH(BU$4,Escalators!$C$44:$C$49,0),MATCH(BU$5,Escalators!$I$43:$U$43,0))</f>
        <v>0</v>
      </c>
      <c r="BV19" s="47">
        <f>INDEX(Direct_Cost_Splits_Network,MATCH($H19,RIN_Asset_Cat_Network,0),MATCH($BW$4,Direct_Cost_Type,0))*$Q19*INDEX(Act_Type_Augex_Splits,MATCH($I19,Act_Type_Augex,0),MATCH(BV$4,Mat_Type,0))*INDEX(Escalators!$I$44:$U$49,MATCH(BV$4,Escalators!$C$44:$C$49,0),MATCH(BV$5,Escalators!$I$43:$U$43,0))</f>
        <v>0</v>
      </c>
      <c r="BW19" s="47">
        <f t="shared" si="13"/>
        <v>0</v>
      </c>
      <c r="BY19" s="47">
        <f>INDEX(Direct_Cost_Splits_Network,MATCH($H19,RIN_Asset_Cat_Network,0),MATCH($BY$4,Direct_Cost_Type,0))*J19*HLOOKUP(BY$5,Escalators!$I$25:$U$30,6,FALSE)</f>
        <v>0</v>
      </c>
      <c r="BZ19" s="47">
        <f>INDEX(Direct_Cost_Splits_Network,MATCH($H19,RIN_Asset_Cat_Network,0),MATCH($BY$4,Direct_Cost_Type,0))*K19*HLOOKUP(BZ$5,Escalators!$I$25:$U$30,6,FALSE)</f>
        <v>0</v>
      </c>
      <c r="CA19" s="47">
        <f>INDEX(Direct_Cost_Splits_Network,MATCH($H19,RIN_Asset_Cat_Network,0),MATCH($BY$4,Direct_Cost_Type,0))*L19*HLOOKUP(CA$5,Escalators!$I$25:$U$30,6,FALSE)</f>
        <v>0</v>
      </c>
      <c r="CB19" s="47">
        <f>INDEX(Direct_Cost_Splits_Network,MATCH($H19,RIN_Asset_Cat_Network,0),MATCH($BY$4,Direct_Cost_Type,0))*M19*HLOOKUP(CB$5,Escalators!$I$25:$U$30,6,FALSE)</f>
        <v>0</v>
      </c>
      <c r="CC19" s="47">
        <f>INDEX(Direct_Cost_Splits_Network,MATCH($H19,RIN_Asset_Cat_Network,0),MATCH($BY$4,Direct_Cost_Type,0))*N19*HLOOKUP(CC$5,Escalators!$I$25:$U$30,6,FALSE)</f>
        <v>0</v>
      </c>
      <c r="CD19" s="47">
        <f>INDEX(Direct_Cost_Splits_Network,MATCH($H19,RIN_Asset_Cat_Network,0),MATCH($BY$4,Direct_Cost_Type,0))*O19*HLOOKUP(CD$5,Escalators!$I$25:$U$30,6,FALSE)</f>
        <v>0</v>
      </c>
      <c r="CE19" s="47">
        <f>INDEX(Direct_Cost_Splits_Network,MATCH($H19,RIN_Asset_Cat_Network,0),MATCH($BY$4,Direct_Cost_Type,0))*P19*HLOOKUP(CE$5,Escalators!$I$25:$U$30,6,FALSE)</f>
        <v>0</v>
      </c>
      <c r="CF19" s="47">
        <f>INDEX(Direct_Cost_Splits_Network,MATCH($H19,RIN_Asset_Cat_Network,0),MATCH($BY$4,Direct_Cost_Type,0))*Q19*HLOOKUP(CF$5,Escalators!$I$25:$U$30,6,FALSE)</f>
        <v>0</v>
      </c>
      <c r="CH19" s="47">
        <f t="shared" si="26"/>
        <v>0</v>
      </c>
      <c r="CI19" s="47">
        <f t="shared" si="27"/>
        <v>0</v>
      </c>
      <c r="CJ19" s="47">
        <f t="shared" si="28"/>
        <v>0</v>
      </c>
      <c r="CK19" s="47">
        <f t="shared" si="29"/>
        <v>0</v>
      </c>
      <c r="CL19" s="47">
        <f t="shared" si="30"/>
        <v>0</v>
      </c>
      <c r="CM19" s="47">
        <f t="shared" si="31"/>
        <v>0</v>
      </c>
      <c r="CN19" s="47">
        <f t="shared" si="32"/>
        <v>0</v>
      </c>
      <c r="CO19" s="47">
        <f t="shared" si="33"/>
        <v>0</v>
      </c>
      <c r="CQ19" s="373">
        <f t="shared" si="15"/>
        <v>0</v>
      </c>
      <c r="CR19" s="47">
        <f t="shared" si="16"/>
        <v>0</v>
      </c>
      <c r="CS19" s="47">
        <f t="shared" si="17"/>
        <v>0</v>
      </c>
      <c r="CT19" s="47">
        <f t="shared" si="18"/>
        <v>0</v>
      </c>
      <c r="CU19" s="47">
        <f t="shared" si="19"/>
        <v>0</v>
      </c>
      <c r="CV19" s="47">
        <f t="shared" si="20"/>
        <v>0</v>
      </c>
      <c r="CW19" s="47">
        <f t="shared" si="21"/>
        <v>0</v>
      </c>
      <c r="CX19" s="47">
        <f t="shared" si="22"/>
        <v>0</v>
      </c>
      <c r="CZ19" s="39"/>
    </row>
    <row r="20" spans="2:104" x14ac:dyDescent="0.3">
      <c r="B20" s="7" t="s">
        <v>429</v>
      </c>
      <c r="C20" s="7" t="s">
        <v>423</v>
      </c>
      <c r="D20" s="7" t="s">
        <v>542</v>
      </c>
      <c r="E20" s="7" t="s">
        <v>45</v>
      </c>
      <c r="F20" s="7" t="s">
        <v>51</v>
      </c>
      <c r="G20" s="7" t="s">
        <v>10</v>
      </c>
      <c r="H20" s="7" t="s">
        <v>164</v>
      </c>
      <c r="I20" s="7" t="s">
        <v>214</v>
      </c>
      <c r="J20" s="45"/>
      <c r="K20" s="45"/>
      <c r="L20" s="45"/>
      <c r="M20" s="45"/>
      <c r="N20" s="45"/>
      <c r="O20" s="45"/>
      <c r="P20" s="45"/>
      <c r="Q20" s="45"/>
      <c r="S20" s="47">
        <f>INDEX(Direct_Cost_Splits_Network,MATCH($H20,RIN_Asset_Cat_Network,0),MATCH($S$4,Direct_Cost_Type,0))*J20*HLOOKUP(S$5,Escalators!$I$25:$U$30,3,FALSE)</f>
        <v>0</v>
      </c>
      <c r="T20" s="47">
        <f>INDEX(Direct_Cost_Splits_Network,MATCH($H20,RIN_Asset_Cat_Network,0),MATCH($S$4,Direct_Cost_Type,0))*K20*HLOOKUP(T$5,Escalators!$I$25:$U$30,3,FALSE)</f>
        <v>0</v>
      </c>
      <c r="U20" s="47">
        <f>INDEX(Direct_Cost_Splits_Network,MATCH($H20,RIN_Asset_Cat_Network,0),MATCH($S$4,Direct_Cost_Type,0))*L20*HLOOKUP(U$5,Escalators!$I$25:$U$30,3,FALSE)</f>
        <v>0</v>
      </c>
      <c r="V20" s="47">
        <f>INDEX(Direct_Cost_Splits_Network,MATCH($H20,RIN_Asset_Cat_Network,0),MATCH($S$4,Direct_Cost_Type,0))*M20*HLOOKUP(V$5,Escalators!$I$25:$U$30,3,FALSE)</f>
        <v>0</v>
      </c>
      <c r="W20" s="47">
        <f>INDEX(Direct_Cost_Splits_Network,MATCH($H20,RIN_Asset_Cat_Network,0),MATCH($S$4,Direct_Cost_Type,0))*N20*HLOOKUP(W$5,Escalators!$I$25:$U$30,3,FALSE)</f>
        <v>0</v>
      </c>
      <c r="X20" s="47">
        <f>INDEX(Direct_Cost_Splits_Network,MATCH($H20,RIN_Asset_Cat_Network,0),MATCH($S$4,Direct_Cost_Type,0))*O20*HLOOKUP(X$5,Escalators!$I$25:$U$30,3,FALSE)</f>
        <v>0</v>
      </c>
      <c r="Y20" s="47">
        <f>INDEX(Direct_Cost_Splits_Network,MATCH($H20,RIN_Asset_Cat_Network,0),MATCH($S$4,Direct_Cost_Type,0))*P20*HLOOKUP(Y$5,Escalators!$I$25:$U$30,3,FALSE)</f>
        <v>0</v>
      </c>
      <c r="Z20" s="47">
        <f>INDEX(Direct_Cost_Splits_Network,MATCH($H20,RIN_Asset_Cat_Network,0),MATCH($S$4,Direct_Cost_Type,0))*Q20*HLOOKUP(Z$5,Escalators!$I$25:$U$30,3,FALSE)</f>
        <v>0</v>
      </c>
      <c r="AB20" s="6">
        <f>INDEX(Direct_Cost_Splits_Network,MATCH($H20,RIN_Asset_Cat_Network,0),MATCH($AG$4,Direct_Cost_Type,0))*$J20*INDEX(Act_Type_Augex_Splits,MATCH($I20,Act_Type_Augex,0),MATCH(AB$4,Mat_Type,0))*INDEX(Escalators!$I$44:$U$49,MATCH(AB$4,Escalators!$C$44:$C$49,0),MATCH(AB$5,Escalators!$I$43:$U$43,0))</f>
        <v>0</v>
      </c>
      <c r="AC20" s="6">
        <f>INDEX(Direct_Cost_Splits_Network,MATCH($H20,RIN_Asset_Cat_Network,0),MATCH($AG$4,Direct_Cost_Type,0))*$J20*INDEX(Act_Type_Augex_Splits,MATCH($I20,Act_Type_Augex,0),MATCH(AC$4,Mat_Type,0))*INDEX(Escalators!$I$44:$U$49,MATCH(AC$4,Escalators!$C$44:$C$49,0),MATCH(AC$5,Escalators!$I$43:$U$43,0))</f>
        <v>0</v>
      </c>
      <c r="AD20" s="6">
        <f>INDEX(Direct_Cost_Splits_Network,MATCH($H20,RIN_Asset_Cat_Network,0),MATCH($AG$4,Direct_Cost_Type,0))*$J20*INDEX(Act_Type_Augex_Splits,MATCH($I20,Act_Type_Augex,0),MATCH(AD$4,Mat_Type,0))*INDEX(Escalators!$I$44:$U$49,MATCH(AD$4,Escalators!$C$44:$C$49,0),MATCH(AD$5,Escalators!$I$43:$U$43,0))</f>
        <v>0</v>
      </c>
      <c r="AE20" s="6">
        <f>INDEX(Direct_Cost_Splits_Network,MATCH($H20,RIN_Asset_Cat_Network,0),MATCH($AG$4,Direct_Cost_Type,0))*$J20*INDEX(Act_Type_Augex_Splits,MATCH($I20,Act_Type_Augex,0),MATCH(AE$4,Mat_Type,0))*INDEX(Escalators!$I$44:$U$49,MATCH(AE$4,Escalators!$C$44:$C$49,0),MATCH(AE$5,Escalators!$I$43:$U$43,0))</f>
        <v>0</v>
      </c>
      <c r="AF20" s="6">
        <f>INDEX(Direct_Cost_Splits_Network,MATCH($H20,RIN_Asset_Cat_Network,0),MATCH($AG$4,Direct_Cost_Type,0))*$J20*INDEX(Act_Type_Augex_Splits,MATCH($I20,Act_Type_Augex,0),MATCH(AF$4,Mat_Type,0))*INDEX(Escalators!$I$44:$U$49,MATCH(AF$4,Escalators!$C$44:$C$49,0),MATCH(AF$5,Escalators!$I$43:$U$43,0))</f>
        <v>0</v>
      </c>
      <c r="AG20" s="47">
        <f t="shared" si="23"/>
        <v>0</v>
      </c>
      <c r="AH20" s="47">
        <f>INDEX(Direct_Cost_Splits_Network,MATCH($H20,RIN_Asset_Cat_Network,0),MATCH($AY$4,Direct_Cost_Type,0))*$K20*INDEX(Act_Type_Augex_Splits,MATCH($I20,Act_Type_Augex,0),MATCH(AH$4,Mat_Type,0))*INDEX(Escalators!$I$44:$U$49,MATCH(AH$4,Escalators!$C$44:$C$49,0),MATCH(AH$5,Escalators!$I$43:$U$43,0))</f>
        <v>0</v>
      </c>
      <c r="AI20" s="47">
        <f>INDEX(Direct_Cost_Splits_Network,MATCH($H20,RIN_Asset_Cat_Network,0),MATCH($AY$4,Direct_Cost_Type,0))*$K20*INDEX(Act_Type_Augex_Splits,MATCH($I20,Act_Type_Augex,0),MATCH(AI$4,Mat_Type,0))*INDEX(Escalators!$I$44:$U$49,MATCH(AI$4,Escalators!$C$44:$C$49,0),MATCH(AI$5,Escalators!$I$43:$U$43,0))</f>
        <v>0</v>
      </c>
      <c r="AJ20" s="47">
        <f>INDEX(Direct_Cost_Splits_Network,MATCH($H20,RIN_Asset_Cat_Network,0),MATCH($AY$4,Direct_Cost_Type,0))*$K20*INDEX(Act_Type_Augex_Splits,MATCH($I20,Act_Type_Augex,0),MATCH(AJ$4,Mat_Type,0))*INDEX(Escalators!$I$44:$U$49,MATCH(AJ$4,Escalators!$C$44:$C$49,0),MATCH(AJ$5,Escalators!$I$43:$U$43,0))</f>
        <v>0</v>
      </c>
      <c r="AK20" s="47">
        <f>INDEX(Direct_Cost_Splits_Network,MATCH($H20,RIN_Asset_Cat_Network,0),MATCH($AY$4,Direct_Cost_Type,0))*$K20*INDEX(Act_Type_Augex_Splits,MATCH($I20,Act_Type_Augex,0),MATCH(AK$4,Mat_Type,0))*INDEX(Escalators!$I$44:$U$49,MATCH(AK$4,Escalators!$C$44:$C$49,0),MATCH(AK$5,Escalators!$I$43:$U$43,0))</f>
        <v>0</v>
      </c>
      <c r="AL20" s="47">
        <f>INDEX(Direct_Cost_Splits_Network,MATCH($H20,RIN_Asset_Cat_Network,0),MATCH($AY$4,Direct_Cost_Type,0))*$K20*INDEX(Act_Type_Augex_Splits,MATCH($I20,Act_Type_Augex,0),MATCH(AL$4,Mat_Type,0))*INDEX(Escalators!$I$44:$U$49,MATCH(AL$4,Escalators!$C$44:$C$49,0),MATCH(AL$5,Escalators!$I$43:$U$43,0))</f>
        <v>0</v>
      </c>
      <c r="AM20" s="47">
        <f t="shared" si="24"/>
        <v>0</v>
      </c>
      <c r="AN20" s="47">
        <f>INDEX(Direct_Cost_Splits_Network,MATCH($H20,RIN_Asset_Cat_Network,0),MATCH($AY$4,Direct_Cost_Type,0))*$L20*INDEX(Act_Type_Augex_Splits,MATCH($I20,Act_Type_Augex,0),MATCH(AN$4,Mat_Type,0))*INDEX(Escalators!$I$44:$U$49,MATCH(AN$4,Escalators!$C$44:$C$49,0),MATCH(AN$5,Escalators!$I$43:$U$43,0))</f>
        <v>0</v>
      </c>
      <c r="AO20" s="47">
        <f>INDEX(Direct_Cost_Splits_Network,MATCH($H20,RIN_Asset_Cat_Network,0),MATCH($AY$4,Direct_Cost_Type,0))*$L20*INDEX(Act_Type_Augex_Splits,MATCH($I20,Act_Type_Augex,0),MATCH(AO$4,Mat_Type,0))*INDEX(Escalators!$I$44:$U$49,MATCH(AO$4,Escalators!$C$44:$C$49,0),MATCH(AO$5,Escalators!$I$43:$U$43,0))</f>
        <v>0</v>
      </c>
      <c r="AP20" s="47">
        <f>INDEX(Direct_Cost_Splits_Network,MATCH($H20,RIN_Asset_Cat_Network,0),MATCH($AY$4,Direct_Cost_Type,0))*$L20*INDEX(Act_Type_Augex_Splits,MATCH($I20,Act_Type_Augex,0),MATCH(AP$4,Mat_Type,0))*INDEX(Escalators!$I$44:$U$49,MATCH(AP$4,Escalators!$C$44:$C$49,0),MATCH(AP$5,Escalators!$I$43:$U$43,0))</f>
        <v>0</v>
      </c>
      <c r="AQ20" s="47">
        <f>INDEX(Direct_Cost_Splits_Network,MATCH($H20,RIN_Asset_Cat_Network,0),MATCH($AY$4,Direct_Cost_Type,0))*$L20*INDEX(Act_Type_Augex_Splits,MATCH($I20,Act_Type_Augex,0),MATCH(AQ$4,Mat_Type,0))*INDEX(Escalators!$I$44:$U$49,MATCH(AQ$4,Escalators!$C$44:$C$49,0),MATCH(AQ$5,Escalators!$I$43:$U$43,0))</f>
        <v>0</v>
      </c>
      <c r="AR20" s="47">
        <f>INDEX(Direct_Cost_Splits_Network,MATCH($H20,RIN_Asset_Cat_Network,0),MATCH($AY$4,Direct_Cost_Type,0))*$L20*INDEX(Act_Type_Augex_Splits,MATCH($I20,Act_Type_Augex,0),MATCH(AR$4,Mat_Type,0))*INDEX(Escalators!$I$44:$U$49,MATCH(AR$4,Escalators!$C$44:$C$49,0),MATCH(AR$5,Escalators!$I$43:$U$43,0))</f>
        <v>0</v>
      </c>
      <c r="AS20" s="47">
        <f t="shared" si="8"/>
        <v>0</v>
      </c>
      <c r="AT20" s="47">
        <f>INDEX(Direct_Cost_Splits_Network,MATCH($H20,RIN_Asset_Cat_Network,0),MATCH($AY$4,Direct_Cost_Type,0))*$M20*INDEX(Act_Type_Augex_Splits,MATCH($I20,Act_Type_Augex,0),MATCH(AT$4,Mat_Type,0))*INDEX(Escalators!$I$44:$U$49,MATCH(AT$4,Escalators!$C$44:$C$49,0),MATCH(AT$5,Escalators!$I$43:$U$43,0))</f>
        <v>0</v>
      </c>
      <c r="AU20" s="47">
        <f>INDEX(Direct_Cost_Splits_Network,MATCH($H20,RIN_Asset_Cat_Network,0),MATCH($AY$4,Direct_Cost_Type,0))*$M20*INDEX(Act_Type_Augex_Splits,MATCH($I20,Act_Type_Augex,0),MATCH(AU$4,Mat_Type,0))*INDEX(Escalators!$I$44:$U$49,MATCH(AU$4,Escalators!$C$44:$C$49,0),MATCH(AU$5,Escalators!$I$43:$U$43,0))</f>
        <v>0</v>
      </c>
      <c r="AV20" s="47">
        <f>INDEX(Direct_Cost_Splits_Network,MATCH($H20,RIN_Asset_Cat_Network,0),MATCH($AY$4,Direct_Cost_Type,0))*$M20*INDEX(Act_Type_Augex_Splits,MATCH($I20,Act_Type_Augex,0),MATCH(AV$4,Mat_Type,0))*INDEX(Escalators!$I$44:$U$49,MATCH(AV$4,Escalators!$C$44:$C$49,0),MATCH(AV$5,Escalators!$I$43:$U$43,0))</f>
        <v>0</v>
      </c>
      <c r="AW20" s="47">
        <f>INDEX(Direct_Cost_Splits_Network,MATCH($H20,RIN_Asset_Cat_Network,0),MATCH($AY$4,Direct_Cost_Type,0))*$M20*INDEX(Act_Type_Augex_Splits,MATCH($I20,Act_Type_Augex,0),MATCH(AW$4,Mat_Type,0))*INDEX(Escalators!$I$44:$U$49,MATCH(AW$4,Escalators!$C$44:$C$49,0),MATCH(AW$5,Escalators!$I$43:$U$43,0))</f>
        <v>0</v>
      </c>
      <c r="AX20" s="47">
        <f>INDEX(Direct_Cost_Splits_Network,MATCH($H20,RIN_Asset_Cat_Network,0),MATCH($AY$4,Direct_Cost_Type,0))*$M20*INDEX(Act_Type_Augex_Splits,MATCH($I20,Act_Type_Augex,0),MATCH(AX$4,Mat_Type,0))*INDEX(Escalators!$I$44:$U$49,MATCH(AX$4,Escalators!$C$44:$C$49,0),MATCH(AX$5,Escalators!$I$43:$U$43,0))</f>
        <v>0</v>
      </c>
      <c r="AY20" s="47">
        <f t="shared" si="9"/>
        <v>0</v>
      </c>
      <c r="AZ20" s="47">
        <f>INDEX(Direct_Cost_Splits_Network,MATCH($H20,RIN_Asset_Cat_Network,0),MATCH($BE$4,Direct_Cost_Type,0))*$N20*INDEX(Act_Type_Augex_Splits,MATCH($I20,Act_Type_Augex,0),MATCH(AZ$4,Mat_Type,0))*INDEX(Escalators!$I$44:$U$49,MATCH(AZ$4,Escalators!$C$44:$C$49,0),MATCH(AZ$5,Escalators!$I$43:$U$43,0))</f>
        <v>0</v>
      </c>
      <c r="BA20" s="47">
        <f>INDEX(Direct_Cost_Splits_Network,MATCH($H20,RIN_Asset_Cat_Network,0),MATCH($BE$4,Direct_Cost_Type,0))*$N20*INDEX(Act_Type_Augex_Splits,MATCH($I20,Act_Type_Augex,0),MATCH(BA$4,Mat_Type,0))*INDEX(Escalators!$I$44:$U$49,MATCH(BA$4,Escalators!$C$44:$C$49,0),MATCH(BA$5,Escalators!$I$43:$U$43,0))</f>
        <v>0</v>
      </c>
      <c r="BB20" s="47">
        <f>INDEX(Direct_Cost_Splits_Network,MATCH($H20,RIN_Asset_Cat_Network,0),MATCH($BE$4,Direct_Cost_Type,0))*$N20*INDEX(Act_Type_Augex_Splits,MATCH($I20,Act_Type_Augex,0),MATCH(BB$4,Mat_Type,0))*INDEX(Escalators!$I$44:$U$49,MATCH(BB$4,Escalators!$C$44:$C$49,0),MATCH(BB$5,Escalators!$I$43:$U$43,0))</f>
        <v>0</v>
      </c>
      <c r="BC20" s="47">
        <f>INDEX(Direct_Cost_Splits_Network,MATCH($H20,RIN_Asset_Cat_Network,0),MATCH($BE$4,Direct_Cost_Type,0))*$N20*INDEX(Act_Type_Augex_Splits,MATCH($I20,Act_Type_Augex,0),MATCH(BC$4,Mat_Type,0))*INDEX(Escalators!$I$44:$U$49,MATCH(BC$4,Escalators!$C$44:$C$49,0),MATCH(BC$5,Escalators!$I$43:$U$43,0))</f>
        <v>0</v>
      </c>
      <c r="BD20" s="47">
        <f>INDEX(Direct_Cost_Splits_Network,MATCH($H20,RIN_Asset_Cat_Network,0),MATCH($BE$4,Direct_Cost_Type,0))*$N20*INDEX(Act_Type_Augex_Splits,MATCH($I20,Act_Type_Augex,0),MATCH(BD$4,Mat_Type,0))*INDEX(Escalators!$I$44:$U$49,MATCH(BD$4,Escalators!$C$44:$C$49,0),MATCH(BD$5,Escalators!$I$43:$U$43,0))</f>
        <v>0</v>
      </c>
      <c r="BE20" s="47">
        <f t="shared" si="10"/>
        <v>0</v>
      </c>
      <c r="BF20" s="47">
        <f>INDEX(Direct_Cost_Splits_Network,MATCH($H20,RIN_Asset_Cat_Network,0),MATCH($BK$4,Direct_Cost_Type,0))*$O20*INDEX(Act_Type_Augex_Splits,MATCH($I20,Act_Type_Augex,0),MATCH(BF$4,Mat_Type,0))*INDEX(Escalators!$I$44:$U$49,MATCH(BF$4,Escalators!$C$44:$C$49,0),MATCH(BF$5,Escalators!$I$43:$U$43,0))</f>
        <v>0</v>
      </c>
      <c r="BG20" s="47">
        <f>INDEX(Direct_Cost_Splits_Network,MATCH($H20,RIN_Asset_Cat_Network,0),MATCH($BK$4,Direct_Cost_Type,0))*$O20*INDEX(Act_Type_Augex_Splits,MATCH($I20,Act_Type_Augex,0),MATCH(BG$4,Mat_Type,0))*INDEX(Escalators!$I$44:$U$49,MATCH(BG$4,Escalators!$C$44:$C$49,0),MATCH(BG$5,Escalators!$I$43:$U$43,0))</f>
        <v>0</v>
      </c>
      <c r="BH20" s="47">
        <f>INDEX(Direct_Cost_Splits_Network,MATCH($H20,RIN_Asset_Cat_Network,0),MATCH($BK$4,Direct_Cost_Type,0))*$O20*INDEX(Act_Type_Augex_Splits,MATCH($I20,Act_Type_Augex,0),MATCH(BH$4,Mat_Type,0))*INDEX(Escalators!$I$44:$U$49,MATCH(BH$4,Escalators!$C$44:$C$49,0),MATCH(BH$5,Escalators!$I$43:$U$43,0))</f>
        <v>0</v>
      </c>
      <c r="BI20" s="47">
        <f>INDEX(Direct_Cost_Splits_Network,MATCH($H20,RIN_Asset_Cat_Network,0),MATCH($BK$4,Direct_Cost_Type,0))*$O20*INDEX(Act_Type_Augex_Splits,MATCH($I20,Act_Type_Augex,0),MATCH(BI$4,Mat_Type,0))*INDEX(Escalators!$I$44:$U$49,MATCH(BI$4,Escalators!$C$44:$C$49,0),MATCH(BI$5,Escalators!$I$43:$U$43,0))</f>
        <v>0</v>
      </c>
      <c r="BJ20" s="47">
        <f>INDEX(Direct_Cost_Splits_Network,MATCH($H20,RIN_Asset_Cat_Network,0),MATCH($BK$4,Direct_Cost_Type,0))*$O20*INDEX(Act_Type_Augex_Splits,MATCH($I20,Act_Type_Augex,0),MATCH(BJ$4,Mat_Type,0))*INDEX(Escalators!$I$44:$U$49,MATCH(BJ$4,Escalators!$C$44:$C$49,0),MATCH(BJ$5,Escalators!$I$43:$U$43,0))</f>
        <v>0</v>
      </c>
      <c r="BK20" s="47">
        <f t="shared" si="11"/>
        <v>0</v>
      </c>
      <c r="BL20" s="47">
        <f>INDEX(Direct_Cost_Splits_Network,MATCH($H20,RIN_Asset_Cat_Network,0),MATCH($BQ$4,Direct_Cost_Type,0))*$P20*INDEX(Act_Type_Augex_Splits,MATCH($I20,Act_Type_Augex,0),MATCH(BL$4,Mat_Type,0))*INDEX(Escalators!$I$44:$U$49,MATCH(BL$4,Escalators!$C$44:$C$49,0),MATCH(BL$5,Escalators!$I$43:$U$43,0))</f>
        <v>0</v>
      </c>
      <c r="BM20" s="47">
        <f>INDEX(Direct_Cost_Splits_Network,MATCH($H20,RIN_Asset_Cat_Network,0),MATCH($BQ$4,Direct_Cost_Type,0))*$P20*INDEX(Act_Type_Augex_Splits,MATCH($I20,Act_Type_Augex,0),MATCH(BM$4,Mat_Type,0))*INDEX(Escalators!$I$44:$U$49,MATCH(BM$4,Escalators!$C$44:$C$49,0),MATCH(BM$5,Escalators!$I$43:$U$43,0))</f>
        <v>0</v>
      </c>
      <c r="BN20" s="47">
        <f>INDEX(Direct_Cost_Splits_Network,MATCH($H20,RIN_Asset_Cat_Network,0),MATCH($BQ$4,Direct_Cost_Type,0))*$P20*INDEX(Act_Type_Augex_Splits,MATCH($I20,Act_Type_Augex,0),MATCH(BN$4,Mat_Type,0))*INDEX(Escalators!$I$44:$U$49,MATCH(BN$4,Escalators!$C$44:$C$49,0),MATCH(BN$5,Escalators!$I$43:$U$43,0))</f>
        <v>0</v>
      </c>
      <c r="BO20" s="47">
        <f>INDEX(Direct_Cost_Splits_Network,MATCH($H20,RIN_Asset_Cat_Network,0),MATCH($BQ$4,Direct_Cost_Type,0))*$P20*INDEX(Act_Type_Augex_Splits,MATCH($I20,Act_Type_Augex,0),MATCH(BO$4,Mat_Type,0))*INDEX(Escalators!$I$44:$U$49,MATCH(BO$4,Escalators!$C$44:$C$49,0),MATCH(BO$5,Escalators!$I$43:$U$43,0))</f>
        <v>0</v>
      </c>
      <c r="BP20" s="47">
        <f>INDEX(Direct_Cost_Splits_Network,MATCH($H20,RIN_Asset_Cat_Network,0),MATCH($BQ$4,Direct_Cost_Type,0))*$P20*INDEX(Act_Type_Augex_Splits,MATCH($I20,Act_Type_Augex,0),MATCH(BP$4,Mat_Type,0))*INDEX(Escalators!$I$44:$U$49,MATCH(BP$4,Escalators!$C$44:$C$49,0),MATCH(BP$5,Escalators!$I$43:$U$43,0))</f>
        <v>0</v>
      </c>
      <c r="BQ20" s="47">
        <f t="shared" si="12"/>
        <v>0</v>
      </c>
      <c r="BR20" s="47">
        <f>INDEX(Direct_Cost_Splits_Network,MATCH($H20,RIN_Asset_Cat_Network,0),MATCH($BW$4,Direct_Cost_Type,0))*$Q20*INDEX(Act_Type_Augex_Splits,MATCH($I20,Act_Type_Augex,0),MATCH(BR$4,Mat_Type,0))*INDEX(Escalators!$I$44:$U$49,MATCH(BR$4,Escalators!$C$44:$C$49,0),MATCH(BR$5,Escalators!$I$43:$U$43,0))</f>
        <v>0</v>
      </c>
      <c r="BS20" s="47">
        <f>INDEX(Direct_Cost_Splits_Network,MATCH($H20,RIN_Asset_Cat_Network,0),MATCH($BW$4,Direct_Cost_Type,0))*$Q20*INDEX(Act_Type_Augex_Splits,MATCH($I20,Act_Type_Augex,0),MATCH(BS$4,Mat_Type,0))*INDEX(Escalators!$I$44:$U$49,MATCH(BS$4,Escalators!$C$44:$C$49,0),MATCH(BS$5,Escalators!$I$43:$U$43,0))</f>
        <v>0</v>
      </c>
      <c r="BT20" s="47">
        <f>INDEX(Direct_Cost_Splits_Network,MATCH($H20,RIN_Asset_Cat_Network,0),MATCH($BW$4,Direct_Cost_Type,0))*$Q20*INDEX(Act_Type_Augex_Splits,MATCH($I20,Act_Type_Augex,0),MATCH(BT$4,Mat_Type,0))*INDEX(Escalators!$I$44:$U$49,MATCH(BT$4,Escalators!$C$44:$C$49,0),MATCH(BT$5,Escalators!$I$43:$U$43,0))</f>
        <v>0</v>
      </c>
      <c r="BU20" s="47">
        <f>INDEX(Direct_Cost_Splits_Network,MATCH($H20,RIN_Asset_Cat_Network,0),MATCH($BW$4,Direct_Cost_Type,0))*$Q20*INDEX(Act_Type_Augex_Splits,MATCH($I20,Act_Type_Augex,0),MATCH(BU$4,Mat_Type,0))*INDEX(Escalators!$I$44:$U$49,MATCH(BU$4,Escalators!$C$44:$C$49,0),MATCH(BU$5,Escalators!$I$43:$U$43,0))</f>
        <v>0</v>
      </c>
      <c r="BV20" s="47">
        <f>INDEX(Direct_Cost_Splits_Network,MATCH($H20,RIN_Asset_Cat_Network,0),MATCH($BW$4,Direct_Cost_Type,0))*$Q20*INDEX(Act_Type_Augex_Splits,MATCH($I20,Act_Type_Augex,0),MATCH(BV$4,Mat_Type,0))*INDEX(Escalators!$I$44:$U$49,MATCH(BV$4,Escalators!$C$44:$C$49,0),MATCH(BV$5,Escalators!$I$43:$U$43,0))</f>
        <v>0</v>
      </c>
      <c r="BW20" s="47">
        <f t="shared" si="13"/>
        <v>0</v>
      </c>
      <c r="BY20" s="47">
        <f>INDEX(Direct_Cost_Splits_Network,MATCH($H20,RIN_Asset_Cat_Network,0),MATCH($BY$4,Direct_Cost_Type,0))*J20*HLOOKUP(BY$5,Escalators!$I$25:$U$30,6,FALSE)</f>
        <v>0</v>
      </c>
      <c r="BZ20" s="47">
        <f>INDEX(Direct_Cost_Splits_Network,MATCH($H20,RIN_Asset_Cat_Network,0),MATCH($BY$4,Direct_Cost_Type,0))*K20*HLOOKUP(BZ$5,Escalators!$I$25:$U$30,6,FALSE)</f>
        <v>0</v>
      </c>
      <c r="CA20" s="47">
        <f>INDEX(Direct_Cost_Splits_Network,MATCH($H20,RIN_Asset_Cat_Network,0),MATCH($BY$4,Direct_Cost_Type,0))*L20*HLOOKUP(CA$5,Escalators!$I$25:$U$30,6,FALSE)</f>
        <v>0</v>
      </c>
      <c r="CB20" s="47">
        <f>INDEX(Direct_Cost_Splits_Network,MATCH($H20,RIN_Asset_Cat_Network,0),MATCH($BY$4,Direct_Cost_Type,0))*M20*HLOOKUP(CB$5,Escalators!$I$25:$U$30,6,FALSE)</f>
        <v>0</v>
      </c>
      <c r="CC20" s="47">
        <f>INDEX(Direct_Cost_Splits_Network,MATCH($H20,RIN_Asset_Cat_Network,0),MATCH($BY$4,Direct_Cost_Type,0))*N20*HLOOKUP(CC$5,Escalators!$I$25:$U$30,6,FALSE)</f>
        <v>0</v>
      </c>
      <c r="CD20" s="47">
        <f>INDEX(Direct_Cost_Splits_Network,MATCH($H20,RIN_Asset_Cat_Network,0),MATCH($BY$4,Direct_Cost_Type,0))*O20*HLOOKUP(CD$5,Escalators!$I$25:$U$30,6,FALSE)</f>
        <v>0</v>
      </c>
      <c r="CE20" s="47">
        <f>INDEX(Direct_Cost_Splits_Network,MATCH($H20,RIN_Asset_Cat_Network,0),MATCH($BY$4,Direct_Cost_Type,0))*P20*HLOOKUP(CE$5,Escalators!$I$25:$U$30,6,FALSE)</f>
        <v>0</v>
      </c>
      <c r="CF20" s="47">
        <f>INDEX(Direct_Cost_Splits_Network,MATCH($H20,RIN_Asset_Cat_Network,0),MATCH($BY$4,Direct_Cost_Type,0))*Q20*HLOOKUP(CF$5,Escalators!$I$25:$U$30,6,FALSE)</f>
        <v>0</v>
      </c>
      <c r="CH20" s="47">
        <f t="shared" si="26"/>
        <v>0</v>
      </c>
      <c r="CI20" s="47">
        <f t="shared" si="27"/>
        <v>0</v>
      </c>
      <c r="CJ20" s="47">
        <f t="shared" si="28"/>
        <v>0</v>
      </c>
      <c r="CK20" s="47">
        <f t="shared" si="29"/>
        <v>0</v>
      </c>
      <c r="CL20" s="47">
        <f t="shared" si="30"/>
        <v>0</v>
      </c>
      <c r="CM20" s="47">
        <f t="shared" si="31"/>
        <v>0</v>
      </c>
      <c r="CN20" s="47">
        <f t="shared" si="32"/>
        <v>0</v>
      </c>
      <c r="CO20" s="47">
        <f t="shared" si="33"/>
        <v>0</v>
      </c>
      <c r="CQ20" s="373">
        <f t="shared" si="15"/>
        <v>0</v>
      </c>
      <c r="CR20" s="47">
        <f t="shared" si="16"/>
        <v>0</v>
      </c>
      <c r="CS20" s="47">
        <f t="shared" si="17"/>
        <v>0</v>
      </c>
      <c r="CT20" s="47">
        <f t="shared" si="18"/>
        <v>0</v>
      </c>
      <c r="CU20" s="47">
        <f t="shared" si="19"/>
        <v>0</v>
      </c>
      <c r="CV20" s="47">
        <f t="shared" si="20"/>
        <v>0</v>
      </c>
      <c r="CW20" s="47">
        <f t="shared" si="21"/>
        <v>0</v>
      </c>
      <c r="CX20" s="47">
        <f t="shared" si="22"/>
        <v>0</v>
      </c>
      <c r="CZ20" s="39"/>
    </row>
    <row r="21" spans="2:104" x14ac:dyDescent="0.3">
      <c r="B21" s="7" t="s">
        <v>429</v>
      </c>
      <c r="C21" s="7" t="s">
        <v>424</v>
      </c>
      <c r="D21" s="7" t="s">
        <v>542</v>
      </c>
      <c r="E21" s="7" t="s">
        <v>45</v>
      </c>
      <c r="F21" s="7" t="s">
        <v>51</v>
      </c>
      <c r="G21" s="7" t="s">
        <v>10</v>
      </c>
      <c r="H21" s="7" t="s">
        <v>164</v>
      </c>
      <c r="I21" s="7" t="s">
        <v>214</v>
      </c>
      <c r="J21" s="45"/>
      <c r="K21" s="45"/>
      <c r="L21" s="45"/>
      <c r="M21" s="45">
        <v>0</v>
      </c>
      <c r="N21" s="45">
        <v>0</v>
      </c>
      <c r="O21" s="45">
        <v>0</v>
      </c>
      <c r="P21" s="45">
        <v>0</v>
      </c>
      <c r="Q21" s="45">
        <v>0</v>
      </c>
      <c r="S21" s="47">
        <f>INDEX(Direct_Cost_Splits_Network,MATCH($H21,RIN_Asset_Cat_Network,0),MATCH($S$4,Direct_Cost_Type,0))*J21*HLOOKUP(S$5,Escalators!$I$25:$U$30,3,FALSE)</f>
        <v>0</v>
      </c>
      <c r="T21" s="47">
        <f>INDEX(Direct_Cost_Splits_Network,MATCH($H21,RIN_Asset_Cat_Network,0),MATCH($S$4,Direct_Cost_Type,0))*K21*HLOOKUP(T$5,Escalators!$I$25:$U$30,3,FALSE)</f>
        <v>0</v>
      </c>
      <c r="U21" s="47">
        <f>INDEX(Direct_Cost_Splits_Network,MATCH($H21,RIN_Asset_Cat_Network,0),MATCH($S$4,Direct_Cost_Type,0))*L21*HLOOKUP(U$5,Escalators!$I$25:$U$30,3,FALSE)</f>
        <v>0</v>
      </c>
      <c r="V21" s="47">
        <f>INDEX(Direct_Cost_Splits_Network,MATCH($H21,RIN_Asset_Cat_Network,0),MATCH($S$4,Direct_Cost_Type,0))*M21*HLOOKUP(V$5,Escalators!$I$25:$U$30,3,FALSE)</f>
        <v>0</v>
      </c>
      <c r="W21" s="47">
        <f>INDEX(Direct_Cost_Splits_Network,MATCH($H21,RIN_Asset_Cat_Network,0),MATCH($S$4,Direct_Cost_Type,0))*N21*HLOOKUP(W$5,Escalators!$I$25:$U$30,3,FALSE)</f>
        <v>0</v>
      </c>
      <c r="X21" s="47">
        <f>INDEX(Direct_Cost_Splits_Network,MATCH($H21,RIN_Asset_Cat_Network,0),MATCH($S$4,Direct_Cost_Type,0))*O21*HLOOKUP(X$5,Escalators!$I$25:$U$30,3,FALSE)</f>
        <v>0</v>
      </c>
      <c r="Y21" s="47">
        <f>INDEX(Direct_Cost_Splits_Network,MATCH($H21,RIN_Asset_Cat_Network,0),MATCH($S$4,Direct_Cost_Type,0))*P21*HLOOKUP(Y$5,Escalators!$I$25:$U$30,3,FALSE)</f>
        <v>0</v>
      </c>
      <c r="Z21" s="47">
        <f>INDEX(Direct_Cost_Splits_Network,MATCH($H21,RIN_Asset_Cat_Network,0),MATCH($S$4,Direct_Cost_Type,0))*Q21*HLOOKUP(Z$5,Escalators!$I$25:$U$30,3,FALSE)</f>
        <v>0</v>
      </c>
      <c r="AB21" s="6">
        <f>INDEX(Direct_Cost_Splits_Network,MATCH($H21,RIN_Asset_Cat_Network,0),MATCH($AG$4,Direct_Cost_Type,0))*$J21*INDEX(Act_Type_Augex_Splits,MATCH($I21,Act_Type_Augex,0),MATCH(AB$4,Mat_Type,0))*INDEX(Escalators!$I$44:$U$49,MATCH(AB$4,Escalators!$C$44:$C$49,0),MATCH(AB$5,Escalators!$I$43:$U$43,0))</f>
        <v>0</v>
      </c>
      <c r="AC21" s="6">
        <f>INDEX(Direct_Cost_Splits_Network,MATCH($H21,RIN_Asset_Cat_Network,0),MATCH($AG$4,Direct_Cost_Type,0))*$J21*INDEX(Act_Type_Augex_Splits,MATCH($I21,Act_Type_Augex,0),MATCH(AC$4,Mat_Type,0))*INDEX(Escalators!$I$44:$U$49,MATCH(AC$4,Escalators!$C$44:$C$49,0),MATCH(AC$5,Escalators!$I$43:$U$43,0))</f>
        <v>0</v>
      </c>
      <c r="AD21" s="6">
        <f>INDEX(Direct_Cost_Splits_Network,MATCH($H21,RIN_Asset_Cat_Network,0),MATCH($AG$4,Direct_Cost_Type,0))*$J21*INDEX(Act_Type_Augex_Splits,MATCH($I21,Act_Type_Augex,0),MATCH(AD$4,Mat_Type,0))*INDEX(Escalators!$I$44:$U$49,MATCH(AD$4,Escalators!$C$44:$C$49,0),MATCH(AD$5,Escalators!$I$43:$U$43,0))</f>
        <v>0</v>
      </c>
      <c r="AE21" s="6">
        <f>INDEX(Direct_Cost_Splits_Network,MATCH($H21,RIN_Asset_Cat_Network,0),MATCH($AG$4,Direct_Cost_Type,0))*$J21*INDEX(Act_Type_Augex_Splits,MATCH($I21,Act_Type_Augex,0),MATCH(AE$4,Mat_Type,0))*INDEX(Escalators!$I$44:$U$49,MATCH(AE$4,Escalators!$C$44:$C$49,0),MATCH(AE$5,Escalators!$I$43:$U$43,0))</f>
        <v>0</v>
      </c>
      <c r="AF21" s="6">
        <f>INDEX(Direct_Cost_Splits_Network,MATCH($H21,RIN_Asset_Cat_Network,0),MATCH($AG$4,Direct_Cost_Type,0))*$J21*INDEX(Act_Type_Augex_Splits,MATCH($I21,Act_Type_Augex,0),MATCH(AF$4,Mat_Type,0))*INDEX(Escalators!$I$44:$U$49,MATCH(AF$4,Escalators!$C$44:$C$49,0),MATCH(AF$5,Escalators!$I$43:$U$43,0))</f>
        <v>0</v>
      </c>
      <c r="AG21" s="47">
        <f t="shared" si="23"/>
        <v>0</v>
      </c>
      <c r="AH21" s="47">
        <f>INDEX(Direct_Cost_Splits_Network,MATCH($H21,RIN_Asset_Cat_Network,0),MATCH($AY$4,Direct_Cost_Type,0))*$K21*INDEX(Act_Type_Augex_Splits,MATCH($I21,Act_Type_Augex,0),MATCH(AH$4,Mat_Type,0))*INDEX(Escalators!$I$44:$U$49,MATCH(AH$4,Escalators!$C$44:$C$49,0),MATCH(AH$5,Escalators!$I$43:$U$43,0))</f>
        <v>0</v>
      </c>
      <c r="AI21" s="47">
        <f>INDEX(Direct_Cost_Splits_Network,MATCH($H21,RIN_Asset_Cat_Network,0),MATCH($AY$4,Direct_Cost_Type,0))*$K21*INDEX(Act_Type_Augex_Splits,MATCH($I21,Act_Type_Augex,0),MATCH(AI$4,Mat_Type,0))*INDEX(Escalators!$I$44:$U$49,MATCH(AI$4,Escalators!$C$44:$C$49,0),MATCH(AI$5,Escalators!$I$43:$U$43,0))</f>
        <v>0</v>
      </c>
      <c r="AJ21" s="47">
        <f>INDEX(Direct_Cost_Splits_Network,MATCH($H21,RIN_Asset_Cat_Network,0),MATCH($AY$4,Direct_Cost_Type,0))*$K21*INDEX(Act_Type_Augex_Splits,MATCH($I21,Act_Type_Augex,0),MATCH(AJ$4,Mat_Type,0))*INDEX(Escalators!$I$44:$U$49,MATCH(AJ$4,Escalators!$C$44:$C$49,0),MATCH(AJ$5,Escalators!$I$43:$U$43,0))</f>
        <v>0</v>
      </c>
      <c r="AK21" s="47">
        <f>INDEX(Direct_Cost_Splits_Network,MATCH($H21,RIN_Asset_Cat_Network,0),MATCH($AY$4,Direct_Cost_Type,0))*$K21*INDEX(Act_Type_Augex_Splits,MATCH($I21,Act_Type_Augex,0),MATCH(AK$4,Mat_Type,0))*INDEX(Escalators!$I$44:$U$49,MATCH(AK$4,Escalators!$C$44:$C$49,0),MATCH(AK$5,Escalators!$I$43:$U$43,0))</f>
        <v>0</v>
      </c>
      <c r="AL21" s="47">
        <f>INDEX(Direct_Cost_Splits_Network,MATCH($H21,RIN_Asset_Cat_Network,0),MATCH($AY$4,Direct_Cost_Type,0))*$K21*INDEX(Act_Type_Augex_Splits,MATCH($I21,Act_Type_Augex,0),MATCH(AL$4,Mat_Type,0))*INDEX(Escalators!$I$44:$U$49,MATCH(AL$4,Escalators!$C$44:$C$49,0),MATCH(AL$5,Escalators!$I$43:$U$43,0))</f>
        <v>0</v>
      </c>
      <c r="AM21" s="47">
        <f t="shared" si="24"/>
        <v>0</v>
      </c>
      <c r="AN21" s="47">
        <f>INDEX(Direct_Cost_Splits_Network,MATCH($H21,RIN_Asset_Cat_Network,0),MATCH($AY$4,Direct_Cost_Type,0))*$L21*INDEX(Act_Type_Augex_Splits,MATCH($I21,Act_Type_Augex,0),MATCH(AN$4,Mat_Type,0))*INDEX(Escalators!$I$44:$U$49,MATCH(AN$4,Escalators!$C$44:$C$49,0),MATCH(AN$5,Escalators!$I$43:$U$43,0))</f>
        <v>0</v>
      </c>
      <c r="AO21" s="47">
        <f>INDEX(Direct_Cost_Splits_Network,MATCH($H21,RIN_Asset_Cat_Network,0),MATCH($AY$4,Direct_Cost_Type,0))*$L21*INDEX(Act_Type_Augex_Splits,MATCH($I21,Act_Type_Augex,0),MATCH(AO$4,Mat_Type,0))*INDEX(Escalators!$I$44:$U$49,MATCH(AO$4,Escalators!$C$44:$C$49,0),MATCH(AO$5,Escalators!$I$43:$U$43,0))</f>
        <v>0</v>
      </c>
      <c r="AP21" s="47">
        <f>INDEX(Direct_Cost_Splits_Network,MATCH($H21,RIN_Asset_Cat_Network,0),MATCH($AY$4,Direct_Cost_Type,0))*$L21*INDEX(Act_Type_Augex_Splits,MATCH($I21,Act_Type_Augex,0),MATCH(AP$4,Mat_Type,0))*INDEX(Escalators!$I$44:$U$49,MATCH(AP$4,Escalators!$C$44:$C$49,0),MATCH(AP$5,Escalators!$I$43:$U$43,0))</f>
        <v>0</v>
      </c>
      <c r="AQ21" s="47">
        <f>INDEX(Direct_Cost_Splits_Network,MATCH($H21,RIN_Asset_Cat_Network,0),MATCH($AY$4,Direct_Cost_Type,0))*$L21*INDEX(Act_Type_Augex_Splits,MATCH($I21,Act_Type_Augex,0),MATCH(AQ$4,Mat_Type,0))*INDEX(Escalators!$I$44:$U$49,MATCH(AQ$4,Escalators!$C$44:$C$49,0),MATCH(AQ$5,Escalators!$I$43:$U$43,0))</f>
        <v>0</v>
      </c>
      <c r="AR21" s="47">
        <f>INDEX(Direct_Cost_Splits_Network,MATCH($H21,RIN_Asset_Cat_Network,0),MATCH($AY$4,Direct_Cost_Type,0))*$L21*INDEX(Act_Type_Augex_Splits,MATCH($I21,Act_Type_Augex,0),MATCH(AR$4,Mat_Type,0))*INDEX(Escalators!$I$44:$U$49,MATCH(AR$4,Escalators!$C$44:$C$49,0),MATCH(AR$5,Escalators!$I$43:$U$43,0))</f>
        <v>0</v>
      </c>
      <c r="AS21" s="47">
        <f t="shared" si="8"/>
        <v>0</v>
      </c>
      <c r="AT21" s="47">
        <f>INDEX(Direct_Cost_Splits_Network,MATCH($H21,RIN_Asset_Cat_Network,0),MATCH($AY$4,Direct_Cost_Type,0))*$M21*INDEX(Act_Type_Augex_Splits,MATCH($I21,Act_Type_Augex,0),MATCH(AT$4,Mat_Type,0))*INDEX(Escalators!$I$44:$U$49,MATCH(AT$4,Escalators!$C$44:$C$49,0),MATCH(AT$5,Escalators!$I$43:$U$43,0))</f>
        <v>0</v>
      </c>
      <c r="AU21" s="47">
        <f>INDEX(Direct_Cost_Splits_Network,MATCH($H21,RIN_Asset_Cat_Network,0),MATCH($AY$4,Direct_Cost_Type,0))*$M21*INDEX(Act_Type_Augex_Splits,MATCH($I21,Act_Type_Augex,0),MATCH(AU$4,Mat_Type,0))*INDEX(Escalators!$I$44:$U$49,MATCH(AU$4,Escalators!$C$44:$C$49,0),MATCH(AU$5,Escalators!$I$43:$U$43,0))</f>
        <v>0</v>
      </c>
      <c r="AV21" s="47">
        <f>INDEX(Direct_Cost_Splits_Network,MATCH($H21,RIN_Asset_Cat_Network,0),MATCH($AY$4,Direct_Cost_Type,0))*$M21*INDEX(Act_Type_Augex_Splits,MATCH($I21,Act_Type_Augex,0),MATCH(AV$4,Mat_Type,0))*INDEX(Escalators!$I$44:$U$49,MATCH(AV$4,Escalators!$C$44:$C$49,0),MATCH(AV$5,Escalators!$I$43:$U$43,0))</f>
        <v>0</v>
      </c>
      <c r="AW21" s="47">
        <f>INDEX(Direct_Cost_Splits_Network,MATCH($H21,RIN_Asset_Cat_Network,0),MATCH($AY$4,Direct_Cost_Type,0))*$M21*INDEX(Act_Type_Augex_Splits,MATCH($I21,Act_Type_Augex,0),MATCH(AW$4,Mat_Type,0))*INDEX(Escalators!$I$44:$U$49,MATCH(AW$4,Escalators!$C$44:$C$49,0),MATCH(AW$5,Escalators!$I$43:$U$43,0))</f>
        <v>0</v>
      </c>
      <c r="AX21" s="47">
        <f>INDEX(Direct_Cost_Splits_Network,MATCH($H21,RIN_Asset_Cat_Network,0),MATCH($AY$4,Direct_Cost_Type,0))*$M21*INDEX(Act_Type_Augex_Splits,MATCH($I21,Act_Type_Augex,0),MATCH(AX$4,Mat_Type,0))*INDEX(Escalators!$I$44:$U$49,MATCH(AX$4,Escalators!$C$44:$C$49,0),MATCH(AX$5,Escalators!$I$43:$U$43,0))</f>
        <v>0</v>
      </c>
      <c r="AY21" s="47">
        <f t="shared" si="9"/>
        <v>0</v>
      </c>
      <c r="AZ21" s="47">
        <f>INDEX(Direct_Cost_Splits_Network,MATCH($H21,RIN_Asset_Cat_Network,0),MATCH($BE$4,Direct_Cost_Type,0))*$N21*INDEX(Act_Type_Augex_Splits,MATCH($I21,Act_Type_Augex,0),MATCH(AZ$4,Mat_Type,0))*INDEX(Escalators!$I$44:$U$49,MATCH(AZ$4,Escalators!$C$44:$C$49,0),MATCH(AZ$5,Escalators!$I$43:$U$43,0))</f>
        <v>0</v>
      </c>
      <c r="BA21" s="47">
        <f>INDEX(Direct_Cost_Splits_Network,MATCH($H21,RIN_Asset_Cat_Network,0),MATCH($BE$4,Direct_Cost_Type,0))*$N21*INDEX(Act_Type_Augex_Splits,MATCH($I21,Act_Type_Augex,0),MATCH(BA$4,Mat_Type,0))*INDEX(Escalators!$I$44:$U$49,MATCH(BA$4,Escalators!$C$44:$C$49,0),MATCH(BA$5,Escalators!$I$43:$U$43,0))</f>
        <v>0</v>
      </c>
      <c r="BB21" s="47">
        <f>INDEX(Direct_Cost_Splits_Network,MATCH($H21,RIN_Asset_Cat_Network,0),MATCH($BE$4,Direct_Cost_Type,0))*$N21*INDEX(Act_Type_Augex_Splits,MATCH($I21,Act_Type_Augex,0),MATCH(BB$4,Mat_Type,0))*INDEX(Escalators!$I$44:$U$49,MATCH(BB$4,Escalators!$C$44:$C$49,0),MATCH(BB$5,Escalators!$I$43:$U$43,0))</f>
        <v>0</v>
      </c>
      <c r="BC21" s="47">
        <f>INDEX(Direct_Cost_Splits_Network,MATCH($H21,RIN_Asset_Cat_Network,0),MATCH($BE$4,Direct_Cost_Type,0))*$N21*INDEX(Act_Type_Augex_Splits,MATCH($I21,Act_Type_Augex,0),MATCH(BC$4,Mat_Type,0))*INDEX(Escalators!$I$44:$U$49,MATCH(BC$4,Escalators!$C$44:$C$49,0),MATCH(BC$5,Escalators!$I$43:$U$43,0))</f>
        <v>0</v>
      </c>
      <c r="BD21" s="47">
        <f>INDEX(Direct_Cost_Splits_Network,MATCH($H21,RIN_Asset_Cat_Network,0),MATCH($BE$4,Direct_Cost_Type,0))*$N21*INDEX(Act_Type_Augex_Splits,MATCH($I21,Act_Type_Augex,0),MATCH(BD$4,Mat_Type,0))*INDEX(Escalators!$I$44:$U$49,MATCH(BD$4,Escalators!$C$44:$C$49,0),MATCH(BD$5,Escalators!$I$43:$U$43,0))</f>
        <v>0</v>
      </c>
      <c r="BE21" s="47">
        <f t="shared" si="10"/>
        <v>0</v>
      </c>
      <c r="BF21" s="47">
        <f>INDEX(Direct_Cost_Splits_Network,MATCH($H21,RIN_Asset_Cat_Network,0),MATCH($BK$4,Direct_Cost_Type,0))*$O21*INDEX(Act_Type_Augex_Splits,MATCH($I21,Act_Type_Augex,0),MATCH(BF$4,Mat_Type,0))*INDEX(Escalators!$I$44:$U$49,MATCH(BF$4,Escalators!$C$44:$C$49,0),MATCH(BF$5,Escalators!$I$43:$U$43,0))</f>
        <v>0</v>
      </c>
      <c r="BG21" s="47">
        <f>INDEX(Direct_Cost_Splits_Network,MATCH($H21,RIN_Asset_Cat_Network,0),MATCH($BK$4,Direct_Cost_Type,0))*$O21*INDEX(Act_Type_Augex_Splits,MATCH($I21,Act_Type_Augex,0),MATCH(BG$4,Mat_Type,0))*INDEX(Escalators!$I$44:$U$49,MATCH(BG$4,Escalators!$C$44:$C$49,0),MATCH(BG$5,Escalators!$I$43:$U$43,0))</f>
        <v>0</v>
      </c>
      <c r="BH21" s="47">
        <f>INDEX(Direct_Cost_Splits_Network,MATCH($H21,RIN_Asset_Cat_Network,0),MATCH($BK$4,Direct_Cost_Type,0))*$O21*INDEX(Act_Type_Augex_Splits,MATCH($I21,Act_Type_Augex,0),MATCH(BH$4,Mat_Type,0))*INDEX(Escalators!$I$44:$U$49,MATCH(BH$4,Escalators!$C$44:$C$49,0),MATCH(BH$5,Escalators!$I$43:$U$43,0))</f>
        <v>0</v>
      </c>
      <c r="BI21" s="47">
        <f>INDEX(Direct_Cost_Splits_Network,MATCH($H21,RIN_Asset_Cat_Network,0),MATCH($BK$4,Direct_Cost_Type,0))*$O21*INDEX(Act_Type_Augex_Splits,MATCH($I21,Act_Type_Augex,0),MATCH(BI$4,Mat_Type,0))*INDEX(Escalators!$I$44:$U$49,MATCH(BI$4,Escalators!$C$44:$C$49,0),MATCH(BI$5,Escalators!$I$43:$U$43,0))</f>
        <v>0</v>
      </c>
      <c r="BJ21" s="47">
        <f>INDEX(Direct_Cost_Splits_Network,MATCH($H21,RIN_Asset_Cat_Network,0),MATCH($BK$4,Direct_Cost_Type,0))*$O21*INDEX(Act_Type_Augex_Splits,MATCH($I21,Act_Type_Augex,0),MATCH(BJ$4,Mat_Type,0))*INDEX(Escalators!$I$44:$U$49,MATCH(BJ$4,Escalators!$C$44:$C$49,0),MATCH(BJ$5,Escalators!$I$43:$U$43,0))</f>
        <v>0</v>
      </c>
      <c r="BK21" s="47">
        <f t="shared" si="11"/>
        <v>0</v>
      </c>
      <c r="BL21" s="47">
        <f>INDEX(Direct_Cost_Splits_Network,MATCH($H21,RIN_Asset_Cat_Network,0),MATCH($BQ$4,Direct_Cost_Type,0))*$P21*INDEX(Act_Type_Augex_Splits,MATCH($I21,Act_Type_Augex,0),MATCH(BL$4,Mat_Type,0))*INDEX(Escalators!$I$44:$U$49,MATCH(BL$4,Escalators!$C$44:$C$49,0),MATCH(BL$5,Escalators!$I$43:$U$43,0))</f>
        <v>0</v>
      </c>
      <c r="BM21" s="47">
        <f>INDEX(Direct_Cost_Splits_Network,MATCH($H21,RIN_Asset_Cat_Network,0),MATCH($BQ$4,Direct_Cost_Type,0))*$P21*INDEX(Act_Type_Augex_Splits,MATCH($I21,Act_Type_Augex,0),MATCH(BM$4,Mat_Type,0))*INDEX(Escalators!$I$44:$U$49,MATCH(BM$4,Escalators!$C$44:$C$49,0),MATCH(BM$5,Escalators!$I$43:$U$43,0))</f>
        <v>0</v>
      </c>
      <c r="BN21" s="47">
        <f>INDEX(Direct_Cost_Splits_Network,MATCH($H21,RIN_Asset_Cat_Network,0),MATCH($BQ$4,Direct_Cost_Type,0))*$P21*INDEX(Act_Type_Augex_Splits,MATCH($I21,Act_Type_Augex,0),MATCH(BN$4,Mat_Type,0))*INDEX(Escalators!$I$44:$U$49,MATCH(BN$4,Escalators!$C$44:$C$49,0),MATCH(BN$5,Escalators!$I$43:$U$43,0))</f>
        <v>0</v>
      </c>
      <c r="BO21" s="47">
        <f>INDEX(Direct_Cost_Splits_Network,MATCH($H21,RIN_Asset_Cat_Network,0),MATCH($BQ$4,Direct_Cost_Type,0))*$P21*INDEX(Act_Type_Augex_Splits,MATCH($I21,Act_Type_Augex,0),MATCH(BO$4,Mat_Type,0))*INDEX(Escalators!$I$44:$U$49,MATCH(BO$4,Escalators!$C$44:$C$49,0),MATCH(BO$5,Escalators!$I$43:$U$43,0))</f>
        <v>0</v>
      </c>
      <c r="BP21" s="47">
        <f>INDEX(Direct_Cost_Splits_Network,MATCH($H21,RIN_Asset_Cat_Network,0),MATCH($BQ$4,Direct_Cost_Type,0))*$P21*INDEX(Act_Type_Augex_Splits,MATCH($I21,Act_Type_Augex,0),MATCH(BP$4,Mat_Type,0))*INDEX(Escalators!$I$44:$U$49,MATCH(BP$4,Escalators!$C$44:$C$49,0),MATCH(BP$5,Escalators!$I$43:$U$43,0))</f>
        <v>0</v>
      </c>
      <c r="BQ21" s="47">
        <f t="shared" si="12"/>
        <v>0</v>
      </c>
      <c r="BR21" s="47">
        <f>INDEX(Direct_Cost_Splits_Network,MATCH($H21,RIN_Asset_Cat_Network,0),MATCH($BW$4,Direct_Cost_Type,0))*$Q21*INDEX(Act_Type_Augex_Splits,MATCH($I21,Act_Type_Augex,0),MATCH(BR$4,Mat_Type,0))*INDEX(Escalators!$I$44:$U$49,MATCH(BR$4,Escalators!$C$44:$C$49,0),MATCH(BR$5,Escalators!$I$43:$U$43,0))</f>
        <v>0</v>
      </c>
      <c r="BS21" s="47">
        <f>INDEX(Direct_Cost_Splits_Network,MATCH($H21,RIN_Asset_Cat_Network,0),MATCH($BW$4,Direct_Cost_Type,0))*$Q21*INDEX(Act_Type_Augex_Splits,MATCH($I21,Act_Type_Augex,0),MATCH(BS$4,Mat_Type,0))*INDEX(Escalators!$I$44:$U$49,MATCH(BS$4,Escalators!$C$44:$C$49,0),MATCH(BS$5,Escalators!$I$43:$U$43,0))</f>
        <v>0</v>
      </c>
      <c r="BT21" s="47">
        <f>INDEX(Direct_Cost_Splits_Network,MATCH($H21,RIN_Asset_Cat_Network,0),MATCH($BW$4,Direct_Cost_Type,0))*$Q21*INDEX(Act_Type_Augex_Splits,MATCH($I21,Act_Type_Augex,0),MATCH(BT$4,Mat_Type,0))*INDEX(Escalators!$I$44:$U$49,MATCH(BT$4,Escalators!$C$44:$C$49,0),MATCH(BT$5,Escalators!$I$43:$U$43,0))</f>
        <v>0</v>
      </c>
      <c r="BU21" s="47">
        <f>INDEX(Direct_Cost_Splits_Network,MATCH($H21,RIN_Asset_Cat_Network,0),MATCH($BW$4,Direct_Cost_Type,0))*$Q21*INDEX(Act_Type_Augex_Splits,MATCH($I21,Act_Type_Augex,0),MATCH(BU$4,Mat_Type,0))*INDEX(Escalators!$I$44:$U$49,MATCH(BU$4,Escalators!$C$44:$C$49,0),MATCH(BU$5,Escalators!$I$43:$U$43,0))</f>
        <v>0</v>
      </c>
      <c r="BV21" s="47">
        <f>INDEX(Direct_Cost_Splits_Network,MATCH($H21,RIN_Asset_Cat_Network,0),MATCH($BW$4,Direct_Cost_Type,0))*$Q21*INDEX(Act_Type_Augex_Splits,MATCH($I21,Act_Type_Augex,0),MATCH(BV$4,Mat_Type,0))*INDEX(Escalators!$I$44:$U$49,MATCH(BV$4,Escalators!$C$44:$C$49,0),MATCH(BV$5,Escalators!$I$43:$U$43,0))</f>
        <v>0</v>
      </c>
      <c r="BW21" s="47">
        <f t="shared" si="13"/>
        <v>0</v>
      </c>
      <c r="BY21" s="47">
        <f>INDEX(Direct_Cost_Splits_Network,MATCH($H21,RIN_Asset_Cat_Network,0),MATCH($BY$4,Direct_Cost_Type,0))*J21*HLOOKUP(BY$5,Escalators!$I$25:$U$30,6,FALSE)</f>
        <v>0</v>
      </c>
      <c r="BZ21" s="47">
        <f>INDEX(Direct_Cost_Splits_Network,MATCH($H21,RIN_Asset_Cat_Network,0),MATCH($BY$4,Direct_Cost_Type,0))*K21*HLOOKUP(BZ$5,Escalators!$I$25:$U$30,6,FALSE)</f>
        <v>0</v>
      </c>
      <c r="CA21" s="47">
        <f>INDEX(Direct_Cost_Splits_Network,MATCH($H21,RIN_Asset_Cat_Network,0),MATCH($BY$4,Direct_Cost_Type,0))*L21*HLOOKUP(CA$5,Escalators!$I$25:$U$30,6,FALSE)</f>
        <v>0</v>
      </c>
      <c r="CB21" s="47">
        <f>INDEX(Direct_Cost_Splits_Network,MATCH($H21,RIN_Asset_Cat_Network,0),MATCH($BY$4,Direct_Cost_Type,0))*M21*HLOOKUP(CB$5,Escalators!$I$25:$U$30,6,FALSE)</f>
        <v>0</v>
      </c>
      <c r="CC21" s="47">
        <f>INDEX(Direct_Cost_Splits_Network,MATCH($H21,RIN_Asset_Cat_Network,0),MATCH($BY$4,Direct_Cost_Type,0))*N21*HLOOKUP(CC$5,Escalators!$I$25:$U$30,6,FALSE)</f>
        <v>0</v>
      </c>
      <c r="CD21" s="47">
        <f>INDEX(Direct_Cost_Splits_Network,MATCH($H21,RIN_Asset_Cat_Network,0),MATCH($BY$4,Direct_Cost_Type,0))*O21*HLOOKUP(CD$5,Escalators!$I$25:$U$30,6,FALSE)</f>
        <v>0</v>
      </c>
      <c r="CE21" s="47">
        <f>INDEX(Direct_Cost_Splits_Network,MATCH($H21,RIN_Asset_Cat_Network,0),MATCH($BY$4,Direct_Cost_Type,0))*P21*HLOOKUP(CE$5,Escalators!$I$25:$U$30,6,FALSE)</f>
        <v>0</v>
      </c>
      <c r="CF21" s="47">
        <f>INDEX(Direct_Cost_Splits_Network,MATCH($H21,RIN_Asset_Cat_Network,0),MATCH($BY$4,Direct_Cost_Type,0))*Q21*HLOOKUP(CF$5,Escalators!$I$25:$U$30,6,FALSE)</f>
        <v>0</v>
      </c>
      <c r="CH21" s="47">
        <f t="shared" si="26"/>
        <v>0</v>
      </c>
      <c r="CI21" s="47">
        <f t="shared" si="27"/>
        <v>0</v>
      </c>
      <c r="CJ21" s="47">
        <f t="shared" si="28"/>
        <v>0</v>
      </c>
      <c r="CK21" s="47">
        <f t="shared" si="29"/>
        <v>0</v>
      </c>
      <c r="CL21" s="47">
        <f t="shared" si="30"/>
        <v>0</v>
      </c>
      <c r="CM21" s="47">
        <f t="shared" si="31"/>
        <v>0</v>
      </c>
      <c r="CN21" s="47">
        <f t="shared" si="32"/>
        <v>0</v>
      </c>
      <c r="CO21" s="47">
        <f t="shared" si="33"/>
        <v>0</v>
      </c>
      <c r="CQ21" s="373">
        <f t="shared" si="15"/>
        <v>0</v>
      </c>
      <c r="CR21" s="47">
        <f t="shared" si="16"/>
        <v>0</v>
      </c>
      <c r="CS21" s="47">
        <f t="shared" si="17"/>
        <v>0</v>
      </c>
      <c r="CT21" s="47">
        <f t="shared" si="18"/>
        <v>0</v>
      </c>
      <c r="CU21" s="47">
        <f t="shared" si="19"/>
        <v>0</v>
      </c>
      <c r="CV21" s="47">
        <f t="shared" si="20"/>
        <v>0</v>
      </c>
      <c r="CW21" s="47">
        <f t="shared" si="21"/>
        <v>0</v>
      </c>
      <c r="CX21" s="47">
        <f t="shared" si="22"/>
        <v>0</v>
      </c>
      <c r="CZ21" s="39"/>
    </row>
    <row r="22" spans="2:104" x14ac:dyDescent="0.3">
      <c r="B22" s="7" t="s">
        <v>429</v>
      </c>
      <c r="C22" s="7" t="s">
        <v>616</v>
      </c>
      <c r="D22" s="7" t="s">
        <v>542</v>
      </c>
      <c r="E22" s="7" t="s">
        <v>45</v>
      </c>
      <c r="F22" s="7" t="s">
        <v>51</v>
      </c>
      <c r="G22" s="7" t="s">
        <v>10</v>
      </c>
      <c r="H22" s="7" t="s">
        <v>152</v>
      </c>
      <c r="I22" s="7" t="s">
        <v>5</v>
      </c>
      <c r="J22" s="45"/>
      <c r="K22" s="45"/>
      <c r="L22" s="45"/>
      <c r="M22" s="45">
        <v>500</v>
      </c>
      <c r="N22" s="45">
        <v>500</v>
      </c>
      <c r="O22" s="45">
        <v>500</v>
      </c>
      <c r="P22" s="45">
        <v>500</v>
      </c>
      <c r="Q22" s="45">
        <v>500</v>
      </c>
      <c r="S22" s="47">
        <f>INDEX(Direct_Cost_Splits_Network,MATCH($H22,RIN_Asset_Cat_Network,0),MATCH($S$4,Direct_Cost_Type,0))*J22*HLOOKUP(S$5,Escalators!$I$25:$U$30,3,FALSE)</f>
        <v>0</v>
      </c>
      <c r="T22" s="47">
        <f>INDEX(Direct_Cost_Splits_Network,MATCH($H22,RIN_Asset_Cat_Network,0),MATCH($S$4,Direct_Cost_Type,0))*K22*HLOOKUP(T$5,Escalators!$I$25:$U$30,3,FALSE)</f>
        <v>0</v>
      </c>
      <c r="U22" s="47">
        <f>INDEX(Direct_Cost_Splits_Network,MATCH($H22,RIN_Asset_Cat_Network,0),MATCH($S$4,Direct_Cost_Type,0))*L22*HLOOKUP(U$5,Escalators!$I$25:$U$30,3,FALSE)</f>
        <v>0</v>
      </c>
      <c r="V22" s="47">
        <f>INDEX(Direct_Cost_Splits_Network,MATCH($H22,RIN_Asset_Cat_Network,0),MATCH($S$4,Direct_Cost_Type,0))*M22*HLOOKUP(V$5,Escalators!$I$25:$U$30,3,FALSE)</f>
        <v>80.003588712959754</v>
      </c>
      <c r="W22" s="47">
        <f>INDEX(Direct_Cost_Splits_Network,MATCH($H22,RIN_Asset_Cat_Network,0),MATCH($S$4,Direct_Cost_Type,0))*N22*HLOOKUP(W$5,Escalators!$I$25:$U$30,3,FALSE)</f>
        <v>80.824438513887955</v>
      </c>
      <c r="X22" s="47">
        <f>INDEX(Direct_Cost_Splits_Network,MATCH($H22,RIN_Asset_Cat_Network,0),MATCH($S$4,Direct_Cost_Type,0))*O22*HLOOKUP(X$5,Escalators!$I$25:$U$30,3,FALSE)</f>
        <v>81.694423470814812</v>
      </c>
      <c r="Y22" s="47">
        <f>INDEX(Direct_Cost_Splits_Network,MATCH($H22,RIN_Asset_Cat_Network,0),MATCH($S$4,Direct_Cost_Type,0))*P22*HLOOKUP(Y$5,Escalators!$I$25:$U$30,3,FALSE)</f>
        <v>82.46686542381785</v>
      </c>
      <c r="Z22" s="47">
        <f>INDEX(Direct_Cost_Splits_Network,MATCH($H22,RIN_Asset_Cat_Network,0),MATCH($S$4,Direct_Cost_Type,0))*Q22*HLOOKUP(Z$5,Escalators!$I$25:$U$30,3,FALSE)</f>
        <v>83.192573839547435</v>
      </c>
      <c r="AB22" s="6">
        <f>INDEX(Direct_Cost_Splits_Network,MATCH($H22,RIN_Asset_Cat_Network,0),MATCH($AG$4,Direct_Cost_Type,0))*$J22*INDEX(Act_Type_Augex_Splits,MATCH($I22,Act_Type_Augex,0),MATCH(AB$4,Mat_Type,0))*INDEX(Escalators!$I$44:$U$49,MATCH(AB$4,Escalators!$C$44:$C$49,0),MATCH(AB$5,Escalators!$I$43:$U$43,0))</f>
        <v>0</v>
      </c>
      <c r="AC22" s="6">
        <f>INDEX(Direct_Cost_Splits_Network,MATCH($H22,RIN_Asset_Cat_Network,0),MATCH($AG$4,Direct_Cost_Type,0))*$J22*INDEX(Act_Type_Augex_Splits,MATCH($I22,Act_Type_Augex,0),MATCH(AC$4,Mat_Type,0))*INDEX(Escalators!$I$44:$U$49,MATCH(AC$4,Escalators!$C$44:$C$49,0),MATCH(AC$5,Escalators!$I$43:$U$43,0))</f>
        <v>0</v>
      </c>
      <c r="AD22" s="6">
        <f>INDEX(Direct_Cost_Splits_Network,MATCH($H22,RIN_Asset_Cat_Network,0),MATCH($AG$4,Direct_Cost_Type,0))*$J22*INDEX(Act_Type_Augex_Splits,MATCH($I22,Act_Type_Augex,0),MATCH(AD$4,Mat_Type,0))*INDEX(Escalators!$I$44:$U$49,MATCH(AD$4,Escalators!$C$44:$C$49,0),MATCH(AD$5,Escalators!$I$43:$U$43,0))</f>
        <v>0</v>
      </c>
      <c r="AE22" s="6">
        <f>INDEX(Direct_Cost_Splits_Network,MATCH($H22,RIN_Asset_Cat_Network,0),MATCH($AG$4,Direct_Cost_Type,0))*$J22*INDEX(Act_Type_Augex_Splits,MATCH($I22,Act_Type_Augex,0),MATCH(AE$4,Mat_Type,0))*INDEX(Escalators!$I$44:$U$49,MATCH(AE$4,Escalators!$C$44:$C$49,0),MATCH(AE$5,Escalators!$I$43:$U$43,0))</f>
        <v>0</v>
      </c>
      <c r="AF22" s="6">
        <f>INDEX(Direct_Cost_Splits_Network,MATCH($H22,RIN_Asset_Cat_Network,0),MATCH($AG$4,Direct_Cost_Type,0))*$J22*INDEX(Act_Type_Augex_Splits,MATCH($I22,Act_Type_Augex,0),MATCH(AF$4,Mat_Type,0))*INDEX(Escalators!$I$44:$U$49,MATCH(AF$4,Escalators!$C$44:$C$49,0),MATCH(AF$5,Escalators!$I$43:$U$43,0))</f>
        <v>0</v>
      </c>
      <c r="AG22" s="47">
        <f t="shared" si="23"/>
        <v>0</v>
      </c>
      <c r="AH22" s="47">
        <f>INDEX(Direct_Cost_Splits_Network,MATCH($H22,RIN_Asset_Cat_Network,0),MATCH($AY$4,Direct_Cost_Type,0))*$K22*INDEX(Act_Type_Augex_Splits,MATCH($I22,Act_Type_Augex,0),MATCH(AH$4,Mat_Type,0))*INDEX(Escalators!$I$44:$U$49,MATCH(AH$4,Escalators!$C$44:$C$49,0),MATCH(AH$5,Escalators!$I$43:$U$43,0))</f>
        <v>0</v>
      </c>
      <c r="AI22" s="47">
        <f>INDEX(Direct_Cost_Splits_Network,MATCH($H22,RIN_Asset_Cat_Network,0),MATCH($AY$4,Direct_Cost_Type,0))*$K22*INDEX(Act_Type_Augex_Splits,MATCH($I22,Act_Type_Augex,0),MATCH(AI$4,Mat_Type,0))*INDEX(Escalators!$I$44:$U$49,MATCH(AI$4,Escalators!$C$44:$C$49,0),MATCH(AI$5,Escalators!$I$43:$U$43,0))</f>
        <v>0</v>
      </c>
      <c r="AJ22" s="47">
        <f>INDEX(Direct_Cost_Splits_Network,MATCH($H22,RIN_Asset_Cat_Network,0),MATCH($AY$4,Direct_Cost_Type,0))*$K22*INDEX(Act_Type_Augex_Splits,MATCH($I22,Act_Type_Augex,0),MATCH(AJ$4,Mat_Type,0))*INDEX(Escalators!$I$44:$U$49,MATCH(AJ$4,Escalators!$C$44:$C$49,0),MATCH(AJ$5,Escalators!$I$43:$U$43,0))</f>
        <v>0</v>
      </c>
      <c r="AK22" s="47">
        <f>INDEX(Direct_Cost_Splits_Network,MATCH($H22,RIN_Asset_Cat_Network,0),MATCH($AY$4,Direct_Cost_Type,0))*$K22*INDEX(Act_Type_Augex_Splits,MATCH($I22,Act_Type_Augex,0),MATCH(AK$4,Mat_Type,0))*INDEX(Escalators!$I$44:$U$49,MATCH(AK$4,Escalators!$C$44:$C$49,0),MATCH(AK$5,Escalators!$I$43:$U$43,0))</f>
        <v>0</v>
      </c>
      <c r="AL22" s="47">
        <f>INDEX(Direct_Cost_Splits_Network,MATCH($H22,RIN_Asset_Cat_Network,0),MATCH($AY$4,Direct_Cost_Type,0))*$K22*INDEX(Act_Type_Augex_Splits,MATCH($I22,Act_Type_Augex,0),MATCH(AL$4,Mat_Type,0))*INDEX(Escalators!$I$44:$U$49,MATCH(AL$4,Escalators!$C$44:$C$49,0),MATCH(AL$5,Escalators!$I$43:$U$43,0))</f>
        <v>0</v>
      </c>
      <c r="AM22" s="47">
        <f t="shared" si="24"/>
        <v>0</v>
      </c>
      <c r="AN22" s="47">
        <f>INDEX(Direct_Cost_Splits_Network,MATCH($H22,RIN_Asset_Cat_Network,0),MATCH($AY$4,Direct_Cost_Type,0))*$L22*INDEX(Act_Type_Augex_Splits,MATCH($I22,Act_Type_Augex,0),MATCH(AN$4,Mat_Type,0))*INDEX(Escalators!$I$44:$U$49,MATCH(AN$4,Escalators!$C$44:$C$49,0),MATCH(AN$5,Escalators!$I$43:$U$43,0))</f>
        <v>0</v>
      </c>
      <c r="AO22" s="47">
        <f>INDEX(Direct_Cost_Splits_Network,MATCH($H22,RIN_Asset_Cat_Network,0),MATCH($AY$4,Direct_Cost_Type,0))*$L22*INDEX(Act_Type_Augex_Splits,MATCH($I22,Act_Type_Augex,0),MATCH(AO$4,Mat_Type,0))*INDEX(Escalators!$I$44:$U$49,MATCH(AO$4,Escalators!$C$44:$C$49,0),MATCH(AO$5,Escalators!$I$43:$U$43,0))</f>
        <v>0</v>
      </c>
      <c r="AP22" s="47">
        <f>INDEX(Direct_Cost_Splits_Network,MATCH($H22,RIN_Asset_Cat_Network,0),MATCH($AY$4,Direct_Cost_Type,0))*$L22*INDEX(Act_Type_Augex_Splits,MATCH($I22,Act_Type_Augex,0),MATCH(AP$4,Mat_Type,0))*INDEX(Escalators!$I$44:$U$49,MATCH(AP$4,Escalators!$C$44:$C$49,0),MATCH(AP$5,Escalators!$I$43:$U$43,0))</f>
        <v>0</v>
      </c>
      <c r="AQ22" s="47">
        <f>INDEX(Direct_Cost_Splits_Network,MATCH($H22,RIN_Asset_Cat_Network,0),MATCH($AY$4,Direct_Cost_Type,0))*$L22*INDEX(Act_Type_Augex_Splits,MATCH($I22,Act_Type_Augex,0),MATCH(AQ$4,Mat_Type,0))*INDEX(Escalators!$I$44:$U$49,MATCH(AQ$4,Escalators!$C$44:$C$49,0),MATCH(AQ$5,Escalators!$I$43:$U$43,0))</f>
        <v>0</v>
      </c>
      <c r="AR22" s="47">
        <f>INDEX(Direct_Cost_Splits_Network,MATCH($H22,RIN_Asset_Cat_Network,0),MATCH($AY$4,Direct_Cost_Type,0))*$L22*INDEX(Act_Type_Augex_Splits,MATCH($I22,Act_Type_Augex,0),MATCH(AR$4,Mat_Type,0))*INDEX(Escalators!$I$44:$U$49,MATCH(AR$4,Escalators!$C$44:$C$49,0),MATCH(AR$5,Escalators!$I$43:$U$43,0))</f>
        <v>0</v>
      </c>
      <c r="AS22" s="47">
        <f t="shared" si="8"/>
        <v>0</v>
      </c>
      <c r="AT22" s="47">
        <f>INDEX(Direct_Cost_Splits_Network,MATCH($H22,RIN_Asset_Cat_Network,0),MATCH($AY$4,Direct_Cost_Type,0))*$M22*INDEX(Act_Type_Augex_Splits,MATCH($I22,Act_Type_Augex,0),MATCH(AT$4,Mat_Type,0))*INDEX(Escalators!$I$44:$U$49,MATCH(AT$4,Escalators!$C$44:$C$49,0),MATCH(AT$5,Escalators!$I$43:$U$43,0))</f>
        <v>15.440954877598683</v>
      </c>
      <c r="AU22" s="47">
        <f>INDEX(Direct_Cost_Splits_Network,MATCH($H22,RIN_Asset_Cat_Network,0),MATCH($AY$4,Direct_Cost_Type,0))*$M22*INDEX(Act_Type_Augex_Splits,MATCH($I22,Act_Type_Augex,0),MATCH(AU$4,Mat_Type,0))*INDEX(Escalators!$I$44:$U$49,MATCH(AU$4,Escalators!$C$44:$C$49,0),MATCH(AU$5,Escalators!$I$43:$U$43,0))</f>
        <v>15.440954877598683</v>
      </c>
      <c r="AV22" s="47">
        <f>INDEX(Direct_Cost_Splits_Network,MATCH($H22,RIN_Asset_Cat_Network,0),MATCH($AY$4,Direct_Cost_Type,0))*$M22*INDEX(Act_Type_Augex_Splits,MATCH($I22,Act_Type_Augex,0),MATCH(AV$4,Mat_Type,0))*INDEX(Escalators!$I$44:$U$49,MATCH(AV$4,Escalators!$C$44:$C$49,0),MATCH(AV$5,Escalators!$I$43:$U$43,0))</f>
        <v>15.440954877598683</v>
      </c>
      <c r="AW22" s="47">
        <f>INDEX(Direct_Cost_Splits_Network,MATCH($H22,RIN_Asset_Cat_Network,0),MATCH($AY$4,Direct_Cost_Type,0))*$M22*INDEX(Act_Type_Augex_Splits,MATCH($I22,Act_Type_Augex,0),MATCH(AW$4,Mat_Type,0))*INDEX(Escalators!$I$44:$U$49,MATCH(AW$4,Escalators!$C$44:$C$49,0),MATCH(AW$5,Escalators!$I$43:$U$43,0))</f>
        <v>0</v>
      </c>
      <c r="AX22" s="47">
        <f>INDEX(Direct_Cost_Splits_Network,MATCH($H22,RIN_Asset_Cat_Network,0),MATCH($AY$4,Direct_Cost_Type,0))*$M22*INDEX(Act_Type_Augex_Splits,MATCH($I22,Act_Type_Augex,0),MATCH(AX$4,Mat_Type,0))*INDEX(Escalators!$I$44:$U$49,MATCH(AX$4,Escalators!$C$44:$C$49,0),MATCH(AX$5,Escalators!$I$43:$U$43,0))</f>
        <v>108.08668414319077</v>
      </c>
      <c r="AY22" s="47">
        <f t="shared" si="9"/>
        <v>154.40954877598682</v>
      </c>
      <c r="AZ22" s="47">
        <f>INDEX(Direct_Cost_Splits_Network,MATCH($H22,RIN_Asset_Cat_Network,0),MATCH($BE$4,Direct_Cost_Type,0))*$N22*INDEX(Act_Type_Augex_Splits,MATCH($I22,Act_Type_Augex,0),MATCH(AZ$4,Mat_Type,0))*INDEX(Escalators!$I$44:$U$49,MATCH(AZ$4,Escalators!$C$44:$C$49,0),MATCH(AZ$5,Escalators!$I$43:$U$43,0))</f>
        <v>15.440954877598683</v>
      </c>
      <c r="BA22" s="47">
        <f>INDEX(Direct_Cost_Splits_Network,MATCH($H22,RIN_Asset_Cat_Network,0),MATCH($BE$4,Direct_Cost_Type,0))*$N22*INDEX(Act_Type_Augex_Splits,MATCH($I22,Act_Type_Augex,0),MATCH(BA$4,Mat_Type,0))*INDEX(Escalators!$I$44:$U$49,MATCH(BA$4,Escalators!$C$44:$C$49,0),MATCH(BA$5,Escalators!$I$43:$U$43,0))</f>
        <v>15.440954877598683</v>
      </c>
      <c r="BB22" s="47">
        <f>INDEX(Direct_Cost_Splits_Network,MATCH($H22,RIN_Asset_Cat_Network,0),MATCH($BE$4,Direct_Cost_Type,0))*$N22*INDEX(Act_Type_Augex_Splits,MATCH($I22,Act_Type_Augex,0),MATCH(BB$4,Mat_Type,0))*INDEX(Escalators!$I$44:$U$49,MATCH(BB$4,Escalators!$C$44:$C$49,0),MATCH(BB$5,Escalators!$I$43:$U$43,0))</f>
        <v>15.440954877598683</v>
      </c>
      <c r="BC22" s="47">
        <f>INDEX(Direct_Cost_Splits_Network,MATCH($H22,RIN_Asset_Cat_Network,0),MATCH($BE$4,Direct_Cost_Type,0))*$N22*INDEX(Act_Type_Augex_Splits,MATCH($I22,Act_Type_Augex,0),MATCH(BC$4,Mat_Type,0))*INDEX(Escalators!$I$44:$U$49,MATCH(BC$4,Escalators!$C$44:$C$49,0),MATCH(BC$5,Escalators!$I$43:$U$43,0))</f>
        <v>0</v>
      </c>
      <c r="BD22" s="47">
        <f>INDEX(Direct_Cost_Splits_Network,MATCH($H22,RIN_Asset_Cat_Network,0),MATCH($BE$4,Direct_Cost_Type,0))*$N22*INDEX(Act_Type_Augex_Splits,MATCH($I22,Act_Type_Augex,0),MATCH(BD$4,Mat_Type,0))*INDEX(Escalators!$I$44:$U$49,MATCH(BD$4,Escalators!$C$44:$C$49,0),MATCH(BD$5,Escalators!$I$43:$U$43,0))</f>
        <v>108.08668414319077</v>
      </c>
      <c r="BE22" s="47">
        <f t="shared" si="10"/>
        <v>154.40954877598682</v>
      </c>
      <c r="BF22" s="47">
        <f>INDEX(Direct_Cost_Splits_Network,MATCH($H22,RIN_Asset_Cat_Network,0),MATCH($BK$4,Direct_Cost_Type,0))*$O22*INDEX(Act_Type_Augex_Splits,MATCH($I22,Act_Type_Augex,0),MATCH(BF$4,Mat_Type,0))*INDEX(Escalators!$I$44:$U$49,MATCH(BF$4,Escalators!$C$44:$C$49,0),MATCH(BF$5,Escalators!$I$43:$U$43,0))</f>
        <v>15.440954877598683</v>
      </c>
      <c r="BG22" s="47">
        <f>INDEX(Direct_Cost_Splits_Network,MATCH($H22,RIN_Asset_Cat_Network,0),MATCH($BK$4,Direct_Cost_Type,0))*$O22*INDEX(Act_Type_Augex_Splits,MATCH($I22,Act_Type_Augex,0),MATCH(BG$4,Mat_Type,0))*INDEX(Escalators!$I$44:$U$49,MATCH(BG$4,Escalators!$C$44:$C$49,0),MATCH(BG$5,Escalators!$I$43:$U$43,0))</f>
        <v>15.440954877598683</v>
      </c>
      <c r="BH22" s="47">
        <f>INDEX(Direct_Cost_Splits_Network,MATCH($H22,RIN_Asset_Cat_Network,0),MATCH($BK$4,Direct_Cost_Type,0))*$O22*INDEX(Act_Type_Augex_Splits,MATCH($I22,Act_Type_Augex,0),MATCH(BH$4,Mat_Type,0))*INDEX(Escalators!$I$44:$U$49,MATCH(BH$4,Escalators!$C$44:$C$49,0),MATCH(BH$5,Escalators!$I$43:$U$43,0))</f>
        <v>15.440954877598683</v>
      </c>
      <c r="BI22" s="47">
        <f>INDEX(Direct_Cost_Splits_Network,MATCH($H22,RIN_Asset_Cat_Network,0),MATCH($BK$4,Direct_Cost_Type,0))*$O22*INDEX(Act_Type_Augex_Splits,MATCH($I22,Act_Type_Augex,0),MATCH(BI$4,Mat_Type,0))*INDEX(Escalators!$I$44:$U$49,MATCH(BI$4,Escalators!$C$44:$C$49,0),MATCH(BI$5,Escalators!$I$43:$U$43,0))</f>
        <v>0</v>
      </c>
      <c r="BJ22" s="47">
        <f>INDEX(Direct_Cost_Splits_Network,MATCH($H22,RIN_Asset_Cat_Network,0),MATCH($BK$4,Direct_Cost_Type,0))*$O22*INDEX(Act_Type_Augex_Splits,MATCH($I22,Act_Type_Augex,0),MATCH(BJ$4,Mat_Type,0))*INDEX(Escalators!$I$44:$U$49,MATCH(BJ$4,Escalators!$C$44:$C$49,0),MATCH(BJ$5,Escalators!$I$43:$U$43,0))</f>
        <v>108.08668414319077</v>
      </c>
      <c r="BK22" s="47">
        <f t="shared" si="11"/>
        <v>154.40954877598682</v>
      </c>
      <c r="BL22" s="47">
        <f>INDEX(Direct_Cost_Splits_Network,MATCH($H22,RIN_Asset_Cat_Network,0),MATCH($BQ$4,Direct_Cost_Type,0))*$P22*INDEX(Act_Type_Augex_Splits,MATCH($I22,Act_Type_Augex,0),MATCH(BL$4,Mat_Type,0))*INDEX(Escalators!$I$44:$U$49,MATCH(BL$4,Escalators!$C$44:$C$49,0),MATCH(BL$5,Escalators!$I$43:$U$43,0))</f>
        <v>15.440954877598683</v>
      </c>
      <c r="BM22" s="47">
        <f>INDEX(Direct_Cost_Splits_Network,MATCH($H22,RIN_Asset_Cat_Network,0),MATCH($BQ$4,Direct_Cost_Type,0))*$P22*INDEX(Act_Type_Augex_Splits,MATCH($I22,Act_Type_Augex,0),MATCH(BM$4,Mat_Type,0))*INDEX(Escalators!$I$44:$U$49,MATCH(BM$4,Escalators!$C$44:$C$49,0),MATCH(BM$5,Escalators!$I$43:$U$43,0))</f>
        <v>15.440954877598683</v>
      </c>
      <c r="BN22" s="47">
        <f>INDEX(Direct_Cost_Splits_Network,MATCH($H22,RIN_Asset_Cat_Network,0),MATCH($BQ$4,Direct_Cost_Type,0))*$P22*INDEX(Act_Type_Augex_Splits,MATCH($I22,Act_Type_Augex,0),MATCH(BN$4,Mat_Type,0))*INDEX(Escalators!$I$44:$U$49,MATCH(BN$4,Escalators!$C$44:$C$49,0),MATCH(BN$5,Escalators!$I$43:$U$43,0))</f>
        <v>15.440954877598683</v>
      </c>
      <c r="BO22" s="47">
        <f>INDEX(Direct_Cost_Splits_Network,MATCH($H22,RIN_Asset_Cat_Network,0),MATCH($BQ$4,Direct_Cost_Type,0))*$P22*INDEX(Act_Type_Augex_Splits,MATCH($I22,Act_Type_Augex,0),MATCH(BO$4,Mat_Type,0))*INDEX(Escalators!$I$44:$U$49,MATCH(BO$4,Escalators!$C$44:$C$49,0),MATCH(BO$5,Escalators!$I$43:$U$43,0))</f>
        <v>0</v>
      </c>
      <c r="BP22" s="47">
        <f>INDEX(Direct_Cost_Splits_Network,MATCH($H22,RIN_Asset_Cat_Network,0),MATCH($BQ$4,Direct_Cost_Type,0))*$P22*INDEX(Act_Type_Augex_Splits,MATCH($I22,Act_Type_Augex,0),MATCH(BP$4,Mat_Type,0))*INDEX(Escalators!$I$44:$U$49,MATCH(BP$4,Escalators!$C$44:$C$49,0),MATCH(BP$5,Escalators!$I$43:$U$43,0))</f>
        <v>108.08668414319077</v>
      </c>
      <c r="BQ22" s="47">
        <f t="shared" si="12"/>
        <v>154.40954877598682</v>
      </c>
      <c r="BR22" s="47">
        <f>INDEX(Direct_Cost_Splits_Network,MATCH($H22,RIN_Asset_Cat_Network,0),MATCH($BW$4,Direct_Cost_Type,0))*$Q22*INDEX(Act_Type_Augex_Splits,MATCH($I22,Act_Type_Augex,0),MATCH(BR$4,Mat_Type,0))*INDEX(Escalators!$I$44:$U$49,MATCH(BR$4,Escalators!$C$44:$C$49,0),MATCH(BR$5,Escalators!$I$43:$U$43,0))</f>
        <v>15.440954877598683</v>
      </c>
      <c r="BS22" s="47">
        <f>INDEX(Direct_Cost_Splits_Network,MATCH($H22,RIN_Asset_Cat_Network,0),MATCH($BW$4,Direct_Cost_Type,0))*$Q22*INDEX(Act_Type_Augex_Splits,MATCH($I22,Act_Type_Augex,0),MATCH(BS$4,Mat_Type,0))*INDEX(Escalators!$I$44:$U$49,MATCH(BS$4,Escalators!$C$44:$C$49,0),MATCH(BS$5,Escalators!$I$43:$U$43,0))</f>
        <v>15.440954877598683</v>
      </c>
      <c r="BT22" s="47">
        <f>INDEX(Direct_Cost_Splits_Network,MATCH($H22,RIN_Asset_Cat_Network,0),MATCH($BW$4,Direct_Cost_Type,0))*$Q22*INDEX(Act_Type_Augex_Splits,MATCH($I22,Act_Type_Augex,0),MATCH(BT$4,Mat_Type,0))*INDEX(Escalators!$I$44:$U$49,MATCH(BT$4,Escalators!$C$44:$C$49,0),MATCH(BT$5,Escalators!$I$43:$U$43,0))</f>
        <v>15.440954877598683</v>
      </c>
      <c r="BU22" s="47">
        <f>INDEX(Direct_Cost_Splits_Network,MATCH($H22,RIN_Asset_Cat_Network,0),MATCH($BW$4,Direct_Cost_Type,0))*$Q22*INDEX(Act_Type_Augex_Splits,MATCH($I22,Act_Type_Augex,0),MATCH(BU$4,Mat_Type,0))*INDEX(Escalators!$I$44:$U$49,MATCH(BU$4,Escalators!$C$44:$C$49,0),MATCH(BU$5,Escalators!$I$43:$U$43,0))</f>
        <v>0</v>
      </c>
      <c r="BV22" s="47">
        <f>INDEX(Direct_Cost_Splits_Network,MATCH($H22,RIN_Asset_Cat_Network,0),MATCH($BW$4,Direct_Cost_Type,0))*$Q22*INDEX(Act_Type_Augex_Splits,MATCH($I22,Act_Type_Augex,0),MATCH(BV$4,Mat_Type,0))*INDEX(Escalators!$I$44:$U$49,MATCH(BV$4,Escalators!$C$44:$C$49,0),MATCH(BV$5,Escalators!$I$43:$U$43,0))</f>
        <v>108.08668414319077</v>
      </c>
      <c r="BW22" s="47">
        <f t="shared" si="13"/>
        <v>154.40954877598682</v>
      </c>
      <c r="BY22" s="47">
        <f>INDEX(Direct_Cost_Splits_Network,MATCH($H22,RIN_Asset_Cat_Network,0),MATCH($BY$4,Direct_Cost_Type,0))*J22*HLOOKUP(BY$5,Escalators!$I$25:$U$30,6,FALSE)</f>
        <v>0</v>
      </c>
      <c r="BZ22" s="47">
        <f>INDEX(Direct_Cost_Splits_Network,MATCH($H22,RIN_Asset_Cat_Network,0),MATCH($BY$4,Direct_Cost_Type,0))*K22*HLOOKUP(BZ$5,Escalators!$I$25:$U$30,6,FALSE)</f>
        <v>0</v>
      </c>
      <c r="CA22" s="47">
        <f>INDEX(Direct_Cost_Splits_Network,MATCH($H22,RIN_Asset_Cat_Network,0),MATCH($BY$4,Direct_Cost_Type,0))*L22*HLOOKUP(CA$5,Escalators!$I$25:$U$30,6,FALSE)</f>
        <v>0</v>
      </c>
      <c r="CB22" s="47">
        <f>INDEX(Direct_Cost_Splits_Network,MATCH($H22,RIN_Asset_Cat_Network,0),MATCH($BY$4,Direct_Cost_Type,0))*M22*HLOOKUP(CB$5,Escalators!$I$25:$U$30,6,FALSE)</f>
        <v>217.2972408574214</v>
      </c>
      <c r="CC22" s="47">
        <f>INDEX(Direct_Cost_Splits_Network,MATCH($H22,RIN_Asset_Cat_Network,0),MATCH($BY$4,Direct_Cost_Type,0))*N22*HLOOKUP(CC$5,Escalators!$I$25:$U$30,6,FALSE)</f>
        <v>219.5267458055059</v>
      </c>
      <c r="CD22" s="47">
        <f>INDEX(Direct_Cost_Splits_Network,MATCH($H22,RIN_Asset_Cat_Network,0),MATCH($BY$4,Direct_Cost_Type,0))*O22*HLOOKUP(CD$5,Escalators!$I$25:$U$30,6,FALSE)</f>
        <v>221.88970643975861</v>
      </c>
      <c r="CE22" s="47">
        <f>INDEX(Direct_Cost_Splits_Network,MATCH($H22,RIN_Asset_Cat_Network,0),MATCH($BY$4,Direct_Cost_Type,0))*P22*HLOOKUP(CE$5,Escalators!$I$25:$U$30,6,FALSE)</f>
        <v>223.98773113852926</v>
      </c>
      <c r="CF22" s="47">
        <f>INDEX(Direct_Cost_Splits_Network,MATCH($H22,RIN_Asset_Cat_Network,0),MATCH($BY$4,Direct_Cost_Type,0))*Q22*HLOOKUP(CF$5,Escalators!$I$25:$U$30,6,FALSE)</f>
        <v>225.95882317254831</v>
      </c>
      <c r="CH22" s="47">
        <f t="shared" si="26"/>
        <v>0</v>
      </c>
      <c r="CI22" s="47">
        <f t="shared" si="27"/>
        <v>0</v>
      </c>
      <c r="CJ22" s="47">
        <f t="shared" si="28"/>
        <v>0</v>
      </c>
      <c r="CK22" s="47">
        <f t="shared" si="29"/>
        <v>57.791399862790065</v>
      </c>
      <c r="CL22" s="47">
        <f t="shared" si="30"/>
        <v>57.791399862790065</v>
      </c>
      <c r="CM22" s="47">
        <f t="shared" si="31"/>
        <v>57.791399862790065</v>
      </c>
      <c r="CN22" s="47">
        <f t="shared" si="32"/>
        <v>57.791399862790065</v>
      </c>
      <c r="CO22" s="47">
        <f t="shared" si="33"/>
        <v>57.791399862790065</v>
      </c>
      <c r="CQ22" s="373">
        <f t="shared" si="15"/>
        <v>0</v>
      </c>
      <c r="CR22" s="47">
        <f t="shared" si="16"/>
        <v>0</v>
      </c>
      <c r="CS22" s="47">
        <f t="shared" si="17"/>
        <v>0</v>
      </c>
      <c r="CT22" s="47">
        <f t="shared" si="18"/>
        <v>509.50177820915803</v>
      </c>
      <c r="CU22" s="47">
        <f t="shared" si="19"/>
        <v>512.55213295817077</v>
      </c>
      <c r="CV22" s="47">
        <f t="shared" si="20"/>
        <v>515.78507854935026</v>
      </c>
      <c r="CW22" s="47">
        <f t="shared" si="21"/>
        <v>518.65554520112403</v>
      </c>
      <c r="CX22" s="47">
        <f t="shared" si="22"/>
        <v>521.35234565087262</v>
      </c>
      <c r="CZ22" s="39"/>
    </row>
    <row r="23" spans="2:104" x14ac:dyDescent="0.3">
      <c r="B23" s="7" t="s">
        <v>429</v>
      </c>
      <c r="C23" s="7" t="s">
        <v>582</v>
      </c>
      <c r="D23" s="7" t="s">
        <v>425</v>
      </c>
      <c r="E23" s="7" t="s">
        <v>45</v>
      </c>
      <c r="F23" s="7" t="s">
        <v>51</v>
      </c>
      <c r="G23" s="7" t="s">
        <v>10</v>
      </c>
      <c r="H23" s="7" t="s">
        <v>165</v>
      </c>
      <c r="I23" s="7" t="s">
        <v>215</v>
      </c>
      <c r="J23" s="45"/>
      <c r="K23" s="45"/>
      <c r="L23" s="45"/>
      <c r="M23" s="45">
        <v>500</v>
      </c>
      <c r="N23" s="45">
        <v>500</v>
      </c>
      <c r="O23" s="45">
        <v>500</v>
      </c>
      <c r="P23" s="45">
        <v>500</v>
      </c>
      <c r="Q23" s="45">
        <v>500</v>
      </c>
      <c r="S23" s="47">
        <f>INDEX(Direct_Cost_Splits_Network,MATCH($H23,RIN_Asset_Cat_Network,0),MATCH($S$4,Direct_Cost_Type,0))*J23*HLOOKUP(S$5,Escalators!$I$25:$U$30,3,FALSE)</f>
        <v>0</v>
      </c>
      <c r="T23" s="47">
        <f>INDEX(Direct_Cost_Splits_Network,MATCH($H23,RIN_Asset_Cat_Network,0),MATCH($S$4,Direct_Cost_Type,0))*K23*HLOOKUP(T$5,Escalators!$I$25:$U$30,3,FALSE)</f>
        <v>0</v>
      </c>
      <c r="U23" s="47">
        <f>INDEX(Direct_Cost_Splits_Network,MATCH($H23,RIN_Asset_Cat_Network,0),MATCH($S$4,Direct_Cost_Type,0))*L23*HLOOKUP(U$5,Escalators!$I$25:$U$30,3,FALSE)</f>
        <v>0</v>
      </c>
      <c r="V23" s="47">
        <f>INDEX(Direct_Cost_Splits_Network,MATCH($H23,RIN_Asset_Cat_Network,0),MATCH($S$4,Direct_Cost_Type,0))*M23*HLOOKUP(V$5,Escalators!$I$25:$U$30,3,FALSE)</f>
        <v>80.00358871295974</v>
      </c>
      <c r="W23" s="47">
        <f>INDEX(Direct_Cost_Splits_Network,MATCH($H23,RIN_Asset_Cat_Network,0),MATCH($S$4,Direct_Cost_Type,0))*N23*HLOOKUP(W$5,Escalators!$I$25:$U$30,3,FALSE)</f>
        <v>80.824438513887941</v>
      </c>
      <c r="X23" s="47">
        <f>INDEX(Direct_Cost_Splits_Network,MATCH($H23,RIN_Asset_Cat_Network,0),MATCH($S$4,Direct_Cost_Type,0))*O23*HLOOKUP(X$5,Escalators!$I$25:$U$30,3,FALSE)</f>
        <v>81.694423470814797</v>
      </c>
      <c r="Y23" s="47">
        <f>INDEX(Direct_Cost_Splits_Network,MATCH($H23,RIN_Asset_Cat_Network,0),MATCH($S$4,Direct_Cost_Type,0))*P23*HLOOKUP(Y$5,Escalators!$I$25:$U$30,3,FALSE)</f>
        <v>82.466865423817836</v>
      </c>
      <c r="Z23" s="47">
        <f>INDEX(Direct_Cost_Splits_Network,MATCH($H23,RIN_Asset_Cat_Network,0),MATCH($S$4,Direct_Cost_Type,0))*Q23*HLOOKUP(Z$5,Escalators!$I$25:$U$30,3,FALSE)</f>
        <v>83.192573839547421</v>
      </c>
      <c r="AB23" s="6">
        <f>INDEX(Direct_Cost_Splits_Network,MATCH($H23,RIN_Asset_Cat_Network,0),MATCH($AG$4,Direct_Cost_Type,0))*$J23*INDEX(Act_Type_Augex_Splits,MATCH($I23,Act_Type_Augex,0),MATCH(AB$4,Mat_Type,0))*INDEX(Escalators!$I$44:$U$49,MATCH(AB$4,Escalators!$C$44:$C$49,0),MATCH(AB$5,Escalators!$I$43:$U$43,0))</f>
        <v>0</v>
      </c>
      <c r="AC23" s="6">
        <f>INDEX(Direct_Cost_Splits_Network,MATCH($H23,RIN_Asset_Cat_Network,0),MATCH($AG$4,Direct_Cost_Type,0))*$J23*INDEX(Act_Type_Augex_Splits,MATCH($I23,Act_Type_Augex,0),MATCH(AC$4,Mat_Type,0))*INDEX(Escalators!$I$44:$U$49,MATCH(AC$4,Escalators!$C$44:$C$49,0),MATCH(AC$5,Escalators!$I$43:$U$43,0))</f>
        <v>0</v>
      </c>
      <c r="AD23" s="6">
        <f>INDEX(Direct_Cost_Splits_Network,MATCH($H23,RIN_Asset_Cat_Network,0),MATCH($AG$4,Direct_Cost_Type,0))*$J23*INDEX(Act_Type_Augex_Splits,MATCH($I23,Act_Type_Augex,0),MATCH(AD$4,Mat_Type,0))*INDEX(Escalators!$I$44:$U$49,MATCH(AD$4,Escalators!$C$44:$C$49,0),MATCH(AD$5,Escalators!$I$43:$U$43,0))</f>
        <v>0</v>
      </c>
      <c r="AE23" s="6">
        <f>INDEX(Direct_Cost_Splits_Network,MATCH($H23,RIN_Asset_Cat_Network,0),MATCH($AG$4,Direct_Cost_Type,0))*$J23*INDEX(Act_Type_Augex_Splits,MATCH($I23,Act_Type_Augex,0),MATCH(AE$4,Mat_Type,0))*INDEX(Escalators!$I$44:$U$49,MATCH(AE$4,Escalators!$C$44:$C$49,0),MATCH(AE$5,Escalators!$I$43:$U$43,0))</f>
        <v>0</v>
      </c>
      <c r="AF23" s="6">
        <f>INDEX(Direct_Cost_Splits_Network,MATCH($H23,RIN_Asset_Cat_Network,0),MATCH($AG$4,Direct_Cost_Type,0))*$J23*INDEX(Act_Type_Augex_Splits,MATCH($I23,Act_Type_Augex,0),MATCH(AF$4,Mat_Type,0))*INDEX(Escalators!$I$44:$U$49,MATCH(AF$4,Escalators!$C$44:$C$49,0),MATCH(AF$5,Escalators!$I$43:$U$43,0))</f>
        <v>0</v>
      </c>
      <c r="AG23" s="47">
        <f t="shared" si="23"/>
        <v>0</v>
      </c>
      <c r="AH23" s="47">
        <f>INDEX(Direct_Cost_Splits_Network,MATCH($H23,RIN_Asset_Cat_Network,0),MATCH($AY$4,Direct_Cost_Type,0))*$K23*INDEX(Act_Type_Augex_Splits,MATCH($I23,Act_Type_Augex,0),MATCH(AH$4,Mat_Type,0))*INDEX(Escalators!$I$44:$U$49,MATCH(AH$4,Escalators!$C$44:$C$49,0),MATCH(AH$5,Escalators!$I$43:$U$43,0))</f>
        <v>0</v>
      </c>
      <c r="AI23" s="47">
        <f>INDEX(Direct_Cost_Splits_Network,MATCH($H23,RIN_Asset_Cat_Network,0),MATCH($AY$4,Direct_Cost_Type,0))*$K23*INDEX(Act_Type_Augex_Splits,MATCH($I23,Act_Type_Augex,0),MATCH(AI$4,Mat_Type,0))*INDEX(Escalators!$I$44:$U$49,MATCH(AI$4,Escalators!$C$44:$C$49,0),MATCH(AI$5,Escalators!$I$43:$U$43,0))</f>
        <v>0</v>
      </c>
      <c r="AJ23" s="47">
        <f>INDEX(Direct_Cost_Splits_Network,MATCH($H23,RIN_Asset_Cat_Network,0),MATCH($AY$4,Direct_Cost_Type,0))*$K23*INDEX(Act_Type_Augex_Splits,MATCH($I23,Act_Type_Augex,0),MATCH(AJ$4,Mat_Type,0))*INDEX(Escalators!$I$44:$U$49,MATCH(AJ$4,Escalators!$C$44:$C$49,0),MATCH(AJ$5,Escalators!$I$43:$U$43,0))</f>
        <v>0</v>
      </c>
      <c r="AK23" s="47">
        <f>INDEX(Direct_Cost_Splits_Network,MATCH($H23,RIN_Asset_Cat_Network,0),MATCH($AY$4,Direct_Cost_Type,0))*$K23*INDEX(Act_Type_Augex_Splits,MATCH($I23,Act_Type_Augex,0),MATCH(AK$4,Mat_Type,0))*INDEX(Escalators!$I$44:$U$49,MATCH(AK$4,Escalators!$C$44:$C$49,0),MATCH(AK$5,Escalators!$I$43:$U$43,0))</f>
        <v>0</v>
      </c>
      <c r="AL23" s="47">
        <f>INDEX(Direct_Cost_Splits_Network,MATCH($H23,RIN_Asset_Cat_Network,0),MATCH($AY$4,Direct_Cost_Type,0))*$K23*INDEX(Act_Type_Augex_Splits,MATCH($I23,Act_Type_Augex,0),MATCH(AL$4,Mat_Type,0))*INDEX(Escalators!$I$44:$U$49,MATCH(AL$4,Escalators!$C$44:$C$49,0),MATCH(AL$5,Escalators!$I$43:$U$43,0))</f>
        <v>0</v>
      </c>
      <c r="AM23" s="47">
        <f t="shared" si="24"/>
        <v>0</v>
      </c>
      <c r="AN23" s="47">
        <f>INDEX(Direct_Cost_Splits_Network,MATCH($H23,RIN_Asset_Cat_Network,0),MATCH($AY$4,Direct_Cost_Type,0))*$L23*INDEX(Act_Type_Augex_Splits,MATCH($I23,Act_Type_Augex,0),MATCH(AN$4,Mat_Type,0))*INDEX(Escalators!$I$44:$U$49,MATCH(AN$4,Escalators!$C$44:$C$49,0),MATCH(AN$5,Escalators!$I$43:$U$43,0))</f>
        <v>0</v>
      </c>
      <c r="AO23" s="47">
        <f>INDEX(Direct_Cost_Splits_Network,MATCH($H23,RIN_Asset_Cat_Network,0),MATCH($AY$4,Direct_Cost_Type,0))*$L23*INDEX(Act_Type_Augex_Splits,MATCH($I23,Act_Type_Augex,0),MATCH(AO$4,Mat_Type,0))*INDEX(Escalators!$I$44:$U$49,MATCH(AO$4,Escalators!$C$44:$C$49,0),MATCH(AO$5,Escalators!$I$43:$U$43,0))</f>
        <v>0</v>
      </c>
      <c r="AP23" s="47">
        <f>INDEX(Direct_Cost_Splits_Network,MATCH($H23,RIN_Asset_Cat_Network,0),MATCH($AY$4,Direct_Cost_Type,0))*$L23*INDEX(Act_Type_Augex_Splits,MATCH($I23,Act_Type_Augex,0),MATCH(AP$4,Mat_Type,0))*INDEX(Escalators!$I$44:$U$49,MATCH(AP$4,Escalators!$C$44:$C$49,0),MATCH(AP$5,Escalators!$I$43:$U$43,0))</f>
        <v>0</v>
      </c>
      <c r="AQ23" s="47">
        <f>INDEX(Direct_Cost_Splits_Network,MATCH($H23,RIN_Asset_Cat_Network,0),MATCH($AY$4,Direct_Cost_Type,0))*$L23*INDEX(Act_Type_Augex_Splits,MATCH($I23,Act_Type_Augex,0),MATCH(AQ$4,Mat_Type,0))*INDEX(Escalators!$I$44:$U$49,MATCH(AQ$4,Escalators!$C$44:$C$49,0),MATCH(AQ$5,Escalators!$I$43:$U$43,0))</f>
        <v>0</v>
      </c>
      <c r="AR23" s="47">
        <f>INDEX(Direct_Cost_Splits_Network,MATCH($H23,RIN_Asset_Cat_Network,0),MATCH($AY$4,Direct_Cost_Type,0))*$L23*INDEX(Act_Type_Augex_Splits,MATCH($I23,Act_Type_Augex,0),MATCH(AR$4,Mat_Type,0))*INDEX(Escalators!$I$44:$U$49,MATCH(AR$4,Escalators!$C$44:$C$49,0),MATCH(AR$5,Escalators!$I$43:$U$43,0))</f>
        <v>0</v>
      </c>
      <c r="AS23" s="47">
        <f t="shared" si="8"/>
        <v>0</v>
      </c>
      <c r="AT23" s="47">
        <f>INDEX(Direct_Cost_Splits_Network,MATCH($H23,RIN_Asset_Cat_Network,0),MATCH($AY$4,Direct_Cost_Type,0))*$M23*INDEX(Act_Type_Augex_Splits,MATCH($I23,Act_Type_Augex,0),MATCH(AT$4,Mat_Type,0))*INDEX(Escalators!$I$44:$U$49,MATCH(AT$4,Escalators!$C$44:$C$49,0),MATCH(AT$5,Escalators!$I$43:$U$43,0))</f>
        <v>103.45439767991118</v>
      </c>
      <c r="AU23" s="47">
        <f>INDEX(Direct_Cost_Splits_Network,MATCH($H23,RIN_Asset_Cat_Network,0),MATCH($AY$4,Direct_Cost_Type,0))*$M23*INDEX(Act_Type_Augex_Splits,MATCH($I23,Act_Type_Augex,0),MATCH(AU$4,Mat_Type,0))*INDEX(Escalators!$I$44:$U$49,MATCH(AU$4,Escalators!$C$44:$C$49,0),MATCH(AU$5,Escalators!$I$43:$U$43,0))</f>
        <v>0</v>
      </c>
      <c r="AV23" s="47">
        <f>INDEX(Direct_Cost_Splits_Network,MATCH($H23,RIN_Asset_Cat_Network,0),MATCH($AY$4,Direct_Cost_Type,0))*$M23*INDEX(Act_Type_Augex_Splits,MATCH($I23,Act_Type_Augex,0),MATCH(AV$4,Mat_Type,0))*INDEX(Escalators!$I$44:$U$49,MATCH(AV$4,Escalators!$C$44:$C$49,0),MATCH(AV$5,Escalators!$I$43:$U$43,0))</f>
        <v>20.073241340878287</v>
      </c>
      <c r="AW23" s="47">
        <f>INDEX(Direct_Cost_Splits_Network,MATCH($H23,RIN_Asset_Cat_Network,0),MATCH($AY$4,Direct_Cost_Type,0))*$M23*INDEX(Act_Type_Augex_Splits,MATCH($I23,Act_Type_Augex,0),MATCH(AW$4,Mat_Type,0))*INDEX(Escalators!$I$44:$U$49,MATCH(AW$4,Escalators!$C$44:$C$49,0),MATCH(AW$5,Escalators!$I$43:$U$43,0))</f>
        <v>0</v>
      </c>
      <c r="AX23" s="47">
        <f>INDEX(Direct_Cost_Splits_Network,MATCH($H23,RIN_Asset_Cat_Network,0),MATCH($AY$4,Direct_Cost_Type,0))*$M23*INDEX(Act_Type_Augex_Splits,MATCH($I23,Act_Type_Augex,0),MATCH(AX$4,Mat_Type,0))*INDEX(Escalators!$I$44:$U$49,MATCH(AX$4,Escalators!$C$44:$C$49,0),MATCH(AX$5,Escalators!$I$43:$U$43,0))</f>
        <v>30.881909755197366</v>
      </c>
      <c r="AY23" s="47">
        <f t="shared" si="9"/>
        <v>154.40954877598682</v>
      </c>
      <c r="AZ23" s="47">
        <f>INDEX(Direct_Cost_Splits_Network,MATCH($H23,RIN_Asset_Cat_Network,0),MATCH($BE$4,Direct_Cost_Type,0))*$N23*INDEX(Act_Type_Augex_Splits,MATCH($I23,Act_Type_Augex,0),MATCH(AZ$4,Mat_Type,0))*INDEX(Escalators!$I$44:$U$49,MATCH(AZ$4,Escalators!$C$44:$C$49,0),MATCH(AZ$5,Escalators!$I$43:$U$43,0))</f>
        <v>103.45439767991118</v>
      </c>
      <c r="BA23" s="47">
        <f>INDEX(Direct_Cost_Splits_Network,MATCH($H23,RIN_Asset_Cat_Network,0),MATCH($BE$4,Direct_Cost_Type,0))*$N23*INDEX(Act_Type_Augex_Splits,MATCH($I23,Act_Type_Augex,0),MATCH(BA$4,Mat_Type,0))*INDEX(Escalators!$I$44:$U$49,MATCH(BA$4,Escalators!$C$44:$C$49,0),MATCH(BA$5,Escalators!$I$43:$U$43,0))</f>
        <v>0</v>
      </c>
      <c r="BB23" s="47">
        <f>INDEX(Direct_Cost_Splits_Network,MATCH($H23,RIN_Asset_Cat_Network,0),MATCH($BE$4,Direct_Cost_Type,0))*$N23*INDEX(Act_Type_Augex_Splits,MATCH($I23,Act_Type_Augex,0),MATCH(BB$4,Mat_Type,0))*INDEX(Escalators!$I$44:$U$49,MATCH(BB$4,Escalators!$C$44:$C$49,0),MATCH(BB$5,Escalators!$I$43:$U$43,0))</f>
        <v>20.073241340878287</v>
      </c>
      <c r="BC23" s="47">
        <f>INDEX(Direct_Cost_Splits_Network,MATCH($H23,RIN_Asset_Cat_Network,0),MATCH($BE$4,Direct_Cost_Type,0))*$N23*INDEX(Act_Type_Augex_Splits,MATCH($I23,Act_Type_Augex,0),MATCH(BC$4,Mat_Type,0))*INDEX(Escalators!$I$44:$U$49,MATCH(BC$4,Escalators!$C$44:$C$49,0),MATCH(BC$5,Escalators!$I$43:$U$43,0))</f>
        <v>0</v>
      </c>
      <c r="BD23" s="47">
        <f>INDEX(Direct_Cost_Splits_Network,MATCH($H23,RIN_Asset_Cat_Network,0),MATCH($BE$4,Direct_Cost_Type,0))*$N23*INDEX(Act_Type_Augex_Splits,MATCH($I23,Act_Type_Augex,0),MATCH(BD$4,Mat_Type,0))*INDEX(Escalators!$I$44:$U$49,MATCH(BD$4,Escalators!$C$44:$C$49,0),MATCH(BD$5,Escalators!$I$43:$U$43,0))</f>
        <v>30.881909755197366</v>
      </c>
      <c r="BE23" s="47">
        <f t="shared" si="10"/>
        <v>154.40954877598682</v>
      </c>
      <c r="BF23" s="47">
        <f>INDEX(Direct_Cost_Splits_Network,MATCH($H23,RIN_Asset_Cat_Network,0),MATCH($BK$4,Direct_Cost_Type,0))*$O23*INDEX(Act_Type_Augex_Splits,MATCH($I23,Act_Type_Augex,0),MATCH(BF$4,Mat_Type,0))*INDEX(Escalators!$I$44:$U$49,MATCH(BF$4,Escalators!$C$44:$C$49,0),MATCH(BF$5,Escalators!$I$43:$U$43,0))</f>
        <v>103.45439767991118</v>
      </c>
      <c r="BG23" s="47">
        <f>INDEX(Direct_Cost_Splits_Network,MATCH($H23,RIN_Asset_Cat_Network,0),MATCH($BK$4,Direct_Cost_Type,0))*$O23*INDEX(Act_Type_Augex_Splits,MATCH($I23,Act_Type_Augex,0),MATCH(BG$4,Mat_Type,0))*INDEX(Escalators!$I$44:$U$49,MATCH(BG$4,Escalators!$C$44:$C$49,0),MATCH(BG$5,Escalators!$I$43:$U$43,0))</f>
        <v>0</v>
      </c>
      <c r="BH23" s="47">
        <f>INDEX(Direct_Cost_Splits_Network,MATCH($H23,RIN_Asset_Cat_Network,0),MATCH($BK$4,Direct_Cost_Type,0))*$O23*INDEX(Act_Type_Augex_Splits,MATCH($I23,Act_Type_Augex,0),MATCH(BH$4,Mat_Type,0))*INDEX(Escalators!$I$44:$U$49,MATCH(BH$4,Escalators!$C$44:$C$49,0),MATCH(BH$5,Escalators!$I$43:$U$43,0))</f>
        <v>20.073241340878287</v>
      </c>
      <c r="BI23" s="47">
        <f>INDEX(Direct_Cost_Splits_Network,MATCH($H23,RIN_Asset_Cat_Network,0),MATCH($BK$4,Direct_Cost_Type,0))*$O23*INDEX(Act_Type_Augex_Splits,MATCH($I23,Act_Type_Augex,0),MATCH(BI$4,Mat_Type,0))*INDEX(Escalators!$I$44:$U$49,MATCH(BI$4,Escalators!$C$44:$C$49,0),MATCH(BI$5,Escalators!$I$43:$U$43,0))</f>
        <v>0</v>
      </c>
      <c r="BJ23" s="47">
        <f>INDEX(Direct_Cost_Splits_Network,MATCH($H23,RIN_Asset_Cat_Network,0),MATCH($BK$4,Direct_Cost_Type,0))*$O23*INDEX(Act_Type_Augex_Splits,MATCH($I23,Act_Type_Augex,0),MATCH(BJ$4,Mat_Type,0))*INDEX(Escalators!$I$44:$U$49,MATCH(BJ$4,Escalators!$C$44:$C$49,0),MATCH(BJ$5,Escalators!$I$43:$U$43,0))</f>
        <v>30.881909755197366</v>
      </c>
      <c r="BK23" s="47">
        <f t="shared" si="11"/>
        <v>154.40954877598682</v>
      </c>
      <c r="BL23" s="47">
        <f>INDEX(Direct_Cost_Splits_Network,MATCH($H23,RIN_Asset_Cat_Network,0),MATCH($BQ$4,Direct_Cost_Type,0))*$P23*INDEX(Act_Type_Augex_Splits,MATCH($I23,Act_Type_Augex,0),MATCH(BL$4,Mat_Type,0))*INDEX(Escalators!$I$44:$U$49,MATCH(BL$4,Escalators!$C$44:$C$49,0),MATCH(BL$5,Escalators!$I$43:$U$43,0))</f>
        <v>103.45439767991118</v>
      </c>
      <c r="BM23" s="47">
        <f>INDEX(Direct_Cost_Splits_Network,MATCH($H23,RIN_Asset_Cat_Network,0),MATCH($BQ$4,Direct_Cost_Type,0))*$P23*INDEX(Act_Type_Augex_Splits,MATCH($I23,Act_Type_Augex,0),MATCH(BM$4,Mat_Type,0))*INDEX(Escalators!$I$44:$U$49,MATCH(BM$4,Escalators!$C$44:$C$49,0),MATCH(BM$5,Escalators!$I$43:$U$43,0))</f>
        <v>0</v>
      </c>
      <c r="BN23" s="47">
        <f>INDEX(Direct_Cost_Splits_Network,MATCH($H23,RIN_Asset_Cat_Network,0),MATCH($BQ$4,Direct_Cost_Type,0))*$P23*INDEX(Act_Type_Augex_Splits,MATCH($I23,Act_Type_Augex,0),MATCH(BN$4,Mat_Type,0))*INDEX(Escalators!$I$44:$U$49,MATCH(BN$4,Escalators!$C$44:$C$49,0),MATCH(BN$5,Escalators!$I$43:$U$43,0))</f>
        <v>20.073241340878287</v>
      </c>
      <c r="BO23" s="47">
        <f>INDEX(Direct_Cost_Splits_Network,MATCH($H23,RIN_Asset_Cat_Network,0),MATCH($BQ$4,Direct_Cost_Type,0))*$P23*INDEX(Act_Type_Augex_Splits,MATCH($I23,Act_Type_Augex,0),MATCH(BO$4,Mat_Type,0))*INDEX(Escalators!$I$44:$U$49,MATCH(BO$4,Escalators!$C$44:$C$49,0),MATCH(BO$5,Escalators!$I$43:$U$43,0))</f>
        <v>0</v>
      </c>
      <c r="BP23" s="47">
        <f>INDEX(Direct_Cost_Splits_Network,MATCH($H23,RIN_Asset_Cat_Network,0),MATCH($BQ$4,Direct_Cost_Type,0))*$P23*INDEX(Act_Type_Augex_Splits,MATCH($I23,Act_Type_Augex,0),MATCH(BP$4,Mat_Type,0))*INDEX(Escalators!$I$44:$U$49,MATCH(BP$4,Escalators!$C$44:$C$49,0),MATCH(BP$5,Escalators!$I$43:$U$43,0))</f>
        <v>30.881909755197366</v>
      </c>
      <c r="BQ23" s="47">
        <f t="shared" si="12"/>
        <v>154.40954877598682</v>
      </c>
      <c r="BR23" s="47">
        <f>INDEX(Direct_Cost_Splits_Network,MATCH($H23,RIN_Asset_Cat_Network,0),MATCH($BW$4,Direct_Cost_Type,0))*$Q23*INDEX(Act_Type_Augex_Splits,MATCH($I23,Act_Type_Augex,0),MATCH(BR$4,Mat_Type,0))*INDEX(Escalators!$I$44:$U$49,MATCH(BR$4,Escalators!$C$44:$C$49,0),MATCH(BR$5,Escalators!$I$43:$U$43,0))</f>
        <v>103.45439767991118</v>
      </c>
      <c r="BS23" s="47">
        <f>INDEX(Direct_Cost_Splits_Network,MATCH($H23,RIN_Asset_Cat_Network,0),MATCH($BW$4,Direct_Cost_Type,0))*$Q23*INDEX(Act_Type_Augex_Splits,MATCH($I23,Act_Type_Augex,0),MATCH(BS$4,Mat_Type,0))*INDEX(Escalators!$I$44:$U$49,MATCH(BS$4,Escalators!$C$44:$C$49,0),MATCH(BS$5,Escalators!$I$43:$U$43,0))</f>
        <v>0</v>
      </c>
      <c r="BT23" s="47">
        <f>INDEX(Direct_Cost_Splits_Network,MATCH($H23,RIN_Asset_Cat_Network,0),MATCH($BW$4,Direct_Cost_Type,0))*$Q23*INDEX(Act_Type_Augex_Splits,MATCH($I23,Act_Type_Augex,0),MATCH(BT$4,Mat_Type,0))*INDEX(Escalators!$I$44:$U$49,MATCH(BT$4,Escalators!$C$44:$C$49,0),MATCH(BT$5,Escalators!$I$43:$U$43,0))</f>
        <v>20.073241340878287</v>
      </c>
      <c r="BU23" s="47">
        <f>INDEX(Direct_Cost_Splits_Network,MATCH($H23,RIN_Asset_Cat_Network,0),MATCH($BW$4,Direct_Cost_Type,0))*$Q23*INDEX(Act_Type_Augex_Splits,MATCH($I23,Act_Type_Augex,0),MATCH(BU$4,Mat_Type,0))*INDEX(Escalators!$I$44:$U$49,MATCH(BU$4,Escalators!$C$44:$C$49,0),MATCH(BU$5,Escalators!$I$43:$U$43,0))</f>
        <v>0</v>
      </c>
      <c r="BV23" s="47">
        <f>INDEX(Direct_Cost_Splits_Network,MATCH($H23,RIN_Asset_Cat_Network,0),MATCH($BW$4,Direct_Cost_Type,0))*$Q23*INDEX(Act_Type_Augex_Splits,MATCH($I23,Act_Type_Augex,0),MATCH(BV$4,Mat_Type,0))*INDEX(Escalators!$I$44:$U$49,MATCH(BV$4,Escalators!$C$44:$C$49,0),MATCH(BV$5,Escalators!$I$43:$U$43,0))</f>
        <v>30.881909755197366</v>
      </c>
      <c r="BW23" s="47">
        <f t="shared" si="13"/>
        <v>154.40954877598682</v>
      </c>
      <c r="BY23" s="47">
        <f>INDEX(Direct_Cost_Splits_Network,MATCH($H23,RIN_Asset_Cat_Network,0),MATCH($BY$4,Direct_Cost_Type,0))*J23*HLOOKUP(BY$5,Escalators!$I$25:$U$30,6,FALSE)</f>
        <v>0</v>
      </c>
      <c r="BZ23" s="47">
        <f>INDEX(Direct_Cost_Splits_Network,MATCH($H23,RIN_Asset_Cat_Network,0),MATCH($BY$4,Direct_Cost_Type,0))*K23*HLOOKUP(BZ$5,Escalators!$I$25:$U$30,6,FALSE)</f>
        <v>0</v>
      </c>
      <c r="CA23" s="47">
        <f>INDEX(Direct_Cost_Splits_Network,MATCH($H23,RIN_Asset_Cat_Network,0),MATCH($BY$4,Direct_Cost_Type,0))*L23*HLOOKUP(CA$5,Escalators!$I$25:$U$30,6,FALSE)</f>
        <v>0</v>
      </c>
      <c r="CB23" s="47">
        <f>INDEX(Direct_Cost_Splits_Network,MATCH($H23,RIN_Asset_Cat_Network,0),MATCH($BY$4,Direct_Cost_Type,0))*M23*HLOOKUP(CB$5,Escalators!$I$25:$U$30,6,FALSE)</f>
        <v>217.29724085742137</v>
      </c>
      <c r="CC23" s="47">
        <f>INDEX(Direct_Cost_Splits_Network,MATCH($H23,RIN_Asset_Cat_Network,0),MATCH($BY$4,Direct_Cost_Type,0))*N23*HLOOKUP(CC$5,Escalators!$I$25:$U$30,6,FALSE)</f>
        <v>219.52674580550587</v>
      </c>
      <c r="CD23" s="47">
        <f>INDEX(Direct_Cost_Splits_Network,MATCH($H23,RIN_Asset_Cat_Network,0),MATCH($BY$4,Direct_Cost_Type,0))*O23*HLOOKUP(CD$5,Escalators!$I$25:$U$30,6,FALSE)</f>
        <v>221.88970643975858</v>
      </c>
      <c r="CE23" s="47">
        <f>INDEX(Direct_Cost_Splits_Network,MATCH($H23,RIN_Asset_Cat_Network,0),MATCH($BY$4,Direct_Cost_Type,0))*P23*HLOOKUP(CE$5,Escalators!$I$25:$U$30,6,FALSE)</f>
        <v>223.98773113852923</v>
      </c>
      <c r="CF23" s="47">
        <f>INDEX(Direct_Cost_Splits_Network,MATCH($H23,RIN_Asset_Cat_Network,0),MATCH($BY$4,Direct_Cost_Type,0))*Q23*HLOOKUP(CF$5,Escalators!$I$25:$U$30,6,FALSE)</f>
        <v>225.95882317254828</v>
      </c>
      <c r="CH23" s="47">
        <f t="shared" si="26"/>
        <v>0</v>
      </c>
      <c r="CI23" s="47">
        <f t="shared" si="27"/>
        <v>0</v>
      </c>
      <c r="CJ23" s="47">
        <f t="shared" si="28"/>
        <v>0</v>
      </c>
      <c r="CK23" s="47">
        <f t="shared" si="29"/>
        <v>57.791399862790065</v>
      </c>
      <c r="CL23" s="47">
        <f t="shared" si="30"/>
        <v>57.791399862790065</v>
      </c>
      <c r="CM23" s="47">
        <f t="shared" si="31"/>
        <v>57.791399862790065</v>
      </c>
      <c r="CN23" s="47">
        <f t="shared" si="32"/>
        <v>57.791399862790065</v>
      </c>
      <c r="CO23" s="47">
        <f t="shared" si="33"/>
        <v>57.791399862790065</v>
      </c>
      <c r="CQ23" s="373">
        <f t="shared" si="15"/>
        <v>0</v>
      </c>
      <c r="CR23" s="47">
        <f t="shared" si="16"/>
        <v>0</v>
      </c>
      <c r="CS23" s="47">
        <f t="shared" si="17"/>
        <v>0</v>
      </c>
      <c r="CT23" s="47">
        <f t="shared" si="18"/>
        <v>509.50177820915803</v>
      </c>
      <c r="CU23" s="47">
        <f t="shared" si="19"/>
        <v>512.55213295817066</v>
      </c>
      <c r="CV23" s="47">
        <f t="shared" si="20"/>
        <v>515.78507854935026</v>
      </c>
      <c r="CW23" s="47">
        <f t="shared" si="21"/>
        <v>518.65554520112391</v>
      </c>
      <c r="CX23" s="47">
        <f t="shared" si="22"/>
        <v>521.35234565087262</v>
      </c>
      <c r="CZ23" s="39"/>
    </row>
    <row r="24" spans="2:104" x14ac:dyDescent="0.3">
      <c r="B24" s="7" t="s">
        <v>429</v>
      </c>
      <c r="C24" s="7" t="s">
        <v>583</v>
      </c>
      <c r="D24" s="7" t="s">
        <v>425</v>
      </c>
      <c r="E24" s="7" t="s">
        <v>45</v>
      </c>
      <c r="F24" s="7" t="s">
        <v>51</v>
      </c>
      <c r="G24" s="7" t="s">
        <v>10</v>
      </c>
      <c r="H24" s="7" t="s">
        <v>165</v>
      </c>
      <c r="I24" s="7" t="s">
        <v>215</v>
      </c>
      <c r="J24" s="45"/>
      <c r="K24" s="45"/>
      <c r="L24" s="45"/>
      <c r="M24" s="45">
        <v>1205</v>
      </c>
      <c r="N24" s="45">
        <v>1210</v>
      </c>
      <c r="O24" s="45">
        <v>1100</v>
      </c>
      <c r="P24" s="45">
        <v>1010</v>
      </c>
      <c r="Q24" s="45">
        <v>970</v>
      </c>
      <c r="S24" s="47">
        <f>INDEX(Direct_Cost_Splits_Network,MATCH($H24,RIN_Asset_Cat_Network,0),MATCH($S$4,Direct_Cost_Type,0))*J24*HLOOKUP(S$5,Escalators!$I$25:$U$30,3,FALSE)</f>
        <v>0</v>
      </c>
      <c r="T24" s="47">
        <f>INDEX(Direct_Cost_Splits_Network,MATCH($H24,RIN_Asset_Cat_Network,0),MATCH($S$4,Direct_Cost_Type,0))*K24*HLOOKUP(T$5,Escalators!$I$25:$U$30,3,FALSE)</f>
        <v>0</v>
      </c>
      <c r="U24" s="47">
        <f>INDEX(Direct_Cost_Splits_Network,MATCH($H24,RIN_Asset_Cat_Network,0),MATCH($S$4,Direct_Cost_Type,0))*L24*HLOOKUP(U$5,Escalators!$I$25:$U$30,3,FALSE)</f>
        <v>0</v>
      </c>
      <c r="V24" s="47">
        <f>INDEX(Direct_Cost_Splits_Network,MATCH($H24,RIN_Asset_Cat_Network,0),MATCH($S$4,Direct_Cost_Type,0))*M24*HLOOKUP(V$5,Escalators!$I$25:$U$30,3,FALSE)</f>
        <v>192.80864879823295</v>
      </c>
      <c r="W24" s="47">
        <f>INDEX(Direct_Cost_Splits_Network,MATCH($H24,RIN_Asset_Cat_Network,0),MATCH($S$4,Direct_Cost_Type,0))*N24*HLOOKUP(W$5,Escalators!$I$25:$U$30,3,FALSE)</f>
        <v>195.59514120360882</v>
      </c>
      <c r="X24" s="47">
        <f>INDEX(Direct_Cost_Splits_Network,MATCH($H24,RIN_Asset_Cat_Network,0),MATCH($S$4,Direct_Cost_Type,0))*O24*HLOOKUP(X$5,Escalators!$I$25:$U$30,3,FALSE)</f>
        <v>179.72773163579257</v>
      </c>
      <c r="Y24" s="47">
        <f>INDEX(Direct_Cost_Splits_Network,MATCH($H24,RIN_Asset_Cat_Network,0),MATCH($S$4,Direct_Cost_Type,0))*P24*HLOOKUP(Y$5,Escalators!$I$25:$U$30,3,FALSE)</f>
        <v>166.58306815611201</v>
      </c>
      <c r="Z24" s="47">
        <f>INDEX(Direct_Cost_Splits_Network,MATCH($H24,RIN_Asset_Cat_Network,0),MATCH($S$4,Direct_Cost_Type,0))*Q24*HLOOKUP(Z$5,Escalators!$I$25:$U$30,3,FALSE)</f>
        <v>161.393593248722</v>
      </c>
      <c r="AB24" s="6">
        <f>INDEX(Direct_Cost_Splits_Network,MATCH($H24,RIN_Asset_Cat_Network,0),MATCH($AG$4,Direct_Cost_Type,0))*$J24*INDEX(Act_Type_Augex_Splits,MATCH($I24,Act_Type_Augex,0),MATCH(AB$4,Mat_Type,0))*INDEX(Escalators!$I$44:$U$49,MATCH(AB$4,Escalators!$C$44:$C$49,0),MATCH(AB$5,Escalators!$I$43:$U$43,0))</f>
        <v>0</v>
      </c>
      <c r="AC24" s="6">
        <f>INDEX(Direct_Cost_Splits_Network,MATCH($H24,RIN_Asset_Cat_Network,0),MATCH($AG$4,Direct_Cost_Type,0))*$J24*INDEX(Act_Type_Augex_Splits,MATCH($I24,Act_Type_Augex,0),MATCH(AC$4,Mat_Type,0))*INDEX(Escalators!$I$44:$U$49,MATCH(AC$4,Escalators!$C$44:$C$49,0),MATCH(AC$5,Escalators!$I$43:$U$43,0))</f>
        <v>0</v>
      </c>
      <c r="AD24" s="6">
        <f>INDEX(Direct_Cost_Splits_Network,MATCH($H24,RIN_Asset_Cat_Network,0),MATCH($AG$4,Direct_Cost_Type,0))*$J24*INDEX(Act_Type_Augex_Splits,MATCH($I24,Act_Type_Augex,0),MATCH(AD$4,Mat_Type,0))*INDEX(Escalators!$I$44:$U$49,MATCH(AD$4,Escalators!$C$44:$C$49,0),MATCH(AD$5,Escalators!$I$43:$U$43,0))</f>
        <v>0</v>
      </c>
      <c r="AE24" s="6">
        <f>INDEX(Direct_Cost_Splits_Network,MATCH($H24,RIN_Asset_Cat_Network,0),MATCH($AG$4,Direct_Cost_Type,0))*$J24*INDEX(Act_Type_Augex_Splits,MATCH($I24,Act_Type_Augex,0),MATCH(AE$4,Mat_Type,0))*INDEX(Escalators!$I$44:$U$49,MATCH(AE$4,Escalators!$C$44:$C$49,0),MATCH(AE$5,Escalators!$I$43:$U$43,0))</f>
        <v>0</v>
      </c>
      <c r="AF24" s="6">
        <f>INDEX(Direct_Cost_Splits_Network,MATCH($H24,RIN_Asset_Cat_Network,0),MATCH($AG$4,Direct_Cost_Type,0))*$J24*INDEX(Act_Type_Augex_Splits,MATCH($I24,Act_Type_Augex,0),MATCH(AF$4,Mat_Type,0))*INDEX(Escalators!$I$44:$U$49,MATCH(AF$4,Escalators!$C$44:$C$49,0),MATCH(AF$5,Escalators!$I$43:$U$43,0))</f>
        <v>0</v>
      </c>
      <c r="AG24" s="47">
        <f t="shared" si="23"/>
        <v>0</v>
      </c>
      <c r="AH24" s="47">
        <f>INDEX(Direct_Cost_Splits_Network,MATCH($H24,RIN_Asset_Cat_Network,0),MATCH($AY$4,Direct_Cost_Type,0))*$K24*INDEX(Act_Type_Augex_Splits,MATCH($I24,Act_Type_Augex,0),MATCH(AH$4,Mat_Type,0))*INDEX(Escalators!$I$44:$U$49,MATCH(AH$4,Escalators!$C$44:$C$49,0),MATCH(AH$5,Escalators!$I$43:$U$43,0))</f>
        <v>0</v>
      </c>
      <c r="AI24" s="47">
        <f>INDEX(Direct_Cost_Splits_Network,MATCH($H24,RIN_Asset_Cat_Network,0),MATCH($AY$4,Direct_Cost_Type,0))*$K24*INDEX(Act_Type_Augex_Splits,MATCH($I24,Act_Type_Augex,0),MATCH(AI$4,Mat_Type,0))*INDEX(Escalators!$I$44:$U$49,MATCH(AI$4,Escalators!$C$44:$C$49,0),MATCH(AI$5,Escalators!$I$43:$U$43,0))</f>
        <v>0</v>
      </c>
      <c r="AJ24" s="47">
        <f>INDEX(Direct_Cost_Splits_Network,MATCH($H24,RIN_Asset_Cat_Network,0),MATCH($AY$4,Direct_Cost_Type,0))*$K24*INDEX(Act_Type_Augex_Splits,MATCH($I24,Act_Type_Augex,0),MATCH(AJ$4,Mat_Type,0))*INDEX(Escalators!$I$44:$U$49,MATCH(AJ$4,Escalators!$C$44:$C$49,0),MATCH(AJ$5,Escalators!$I$43:$U$43,0))</f>
        <v>0</v>
      </c>
      <c r="AK24" s="47">
        <f>INDEX(Direct_Cost_Splits_Network,MATCH($H24,RIN_Asset_Cat_Network,0),MATCH($AY$4,Direct_Cost_Type,0))*$K24*INDEX(Act_Type_Augex_Splits,MATCH($I24,Act_Type_Augex,0),MATCH(AK$4,Mat_Type,0))*INDEX(Escalators!$I$44:$U$49,MATCH(AK$4,Escalators!$C$44:$C$49,0),MATCH(AK$5,Escalators!$I$43:$U$43,0))</f>
        <v>0</v>
      </c>
      <c r="AL24" s="47">
        <f>INDEX(Direct_Cost_Splits_Network,MATCH($H24,RIN_Asset_Cat_Network,0),MATCH($AY$4,Direct_Cost_Type,0))*$K24*INDEX(Act_Type_Augex_Splits,MATCH($I24,Act_Type_Augex,0),MATCH(AL$4,Mat_Type,0))*INDEX(Escalators!$I$44:$U$49,MATCH(AL$4,Escalators!$C$44:$C$49,0),MATCH(AL$5,Escalators!$I$43:$U$43,0))</f>
        <v>0</v>
      </c>
      <c r="AM24" s="47">
        <f t="shared" si="24"/>
        <v>0</v>
      </c>
      <c r="AN24" s="47">
        <f>INDEX(Direct_Cost_Splits_Network,MATCH($H24,RIN_Asset_Cat_Network,0),MATCH($AY$4,Direct_Cost_Type,0))*$L24*INDEX(Act_Type_Augex_Splits,MATCH($I24,Act_Type_Augex,0),MATCH(AN$4,Mat_Type,0))*INDEX(Escalators!$I$44:$U$49,MATCH(AN$4,Escalators!$C$44:$C$49,0),MATCH(AN$5,Escalators!$I$43:$U$43,0))</f>
        <v>0</v>
      </c>
      <c r="AO24" s="47">
        <f>INDEX(Direct_Cost_Splits_Network,MATCH($H24,RIN_Asset_Cat_Network,0),MATCH($AY$4,Direct_Cost_Type,0))*$L24*INDEX(Act_Type_Augex_Splits,MATCH($I24,Act_Type_Augex,0),MATCH(AO$4,Mat_Type,0))*INDEX(Escalators!$I$44:$U$49,MATCH(AO$4,Escalators!$C$44:$C$49,0),MATCH(AO$5,Escalators!$I$43:$U$43,0))</f>
        <v>0</v>
      </c>
      <c r="AP24" s="47">
        <f>INDEX(Direct_Cost_Splits_Network,MATCH($H24,RIN_Asset_Cat_Network,0),MATCH($AY$4,Direct_Cost_Type,0))*$L24*INDEX(Act_Type_Augex_Splits,MATCH($I24,Act_Type_Augex,0),MATCH(AP$4,Mat_Type,0))*INDEX(Escalators!$I$44:$U$49,MATCH(AP$4,Escalators!$C$44:$C$49,0),MATCH(AP$5,Escalators!$I$43:$U$43,0))</f>
        <v>0</v>
      </c>
      <c r="AQ24" s="47">
        <f>INDEX(Direct_Cost_Splits_Network,MATCH($H24,RIN_Asset_Cat_Network,0),MATCH($AY$4,Direct_Cost_Type,0))*$L24*INDEX(Act_Type_Augex_Splits,MATCH($I24,Act_Type_Augex,0),MATCH(AQ$4,Mat_Type,0))*INDEX(Escalators!$I$44:$U$49,MATCH(AQ$4,Escalators!$C$44:$C$49,0),MATCH(AQ$5,Escalators!$I$43:$U$43,0))</f>
        <v>0</v>
      </c>
      <c r="AR24" s="47">
        <f>INDEX(Direct_Cost_Splits_Network,MATCH($H24,RIN_Asset_Cat_Network,0),MATCH($AY$4,Direct_Cost_Type,0))*$L24*INDEX(Act_Type_Augex_Splits,MATCH($I24,Act_Type_Augex,0),MATCH(AR$4,Mat_Type,0))*INDEX(Escalators!$I$44:$U$49,MATCH(AR$4,Escalators!$C$44:$C$49,0),MATCH(AR$5,Escalators!$I$43:$U$43,0))</f>
        <v>0</v>
      </c>
      <c r="AS24" s="47">
        <f t="shared" si="8"/>
        <v>0</v>
      </c>
      <c r="AT24" s="47">
        <f>INDEX(Direct_Cost_Splits_Network,MATCH($H24,RIN_Asset_Cat_Network,0),MATCH($AY$4,Direct_Cost_Type,0))*$M24*INDEX(Act_Type_Augex_Splits,MATCH($I24,Act_Type_Augex,0),MATCH(AT$4,Mat_Type,0))*INDEX(Escalators!$I$44:$U$49,MATCH(AT$4,Escalators!$C$44:$C$49,0),MATCH(AT$5,Escalators!$I$43:$U$43,0))</f>
        <v>249.32509840858592</v>
      </c>
      <c r="AU24" s="47">
        <f>INDEX(Direct_Cost_Splits_Network,MATCH($H24,RIN_Asset_Cat_Network,0),MATCH($AY$4,Direct_Cost_Type,0))*$M24*INDEX(Act_Type_Augex_Splits,MATCH($I24,Act_Type_Augex,0),MATCH(AU$4,Mat_Type,0))*INDEX(Escalators!$I$44:$U$49,MATCH(AU$4,Escalators!$C$44:$C$49,0),MATCH(AU$5,Escalators!$I$43:$U$43,0))</f>
        <v>0</v>
      </c>
      <c r="AV24" s="47">
        <f>INDEX(Direct_Cost_Splits_Network,MATCH($H24,RIN_Asset_Cat_Network,0),MATCH($AY$4,Direct_Cost_Type,0))*$M24*INDEX(Act_Type_Augex_Splits,MATCH($I24,Act_Type_Augex,0),MATCH(AV$4,Mat_Type,0))*INDEX(Escalators!$I$44:$U$49,MATCH(AV$4,Escalators!$C$44:$C$49,0),MATCH(AV$5,Escalators!$I$43:$U$43,0))</f>
        <v>48.376511631516671</v>
      </c>
      <c r="AW24" s="47">
        <f>INDEX(Direct_Cost_Splits_Network,MATCH($H24,RIN_Asset_Cat_Network,0),MATCH($AY$4,Direct_Cost_Type,0))*$M24*INDEX(Act_Type_Augex_Splits,MATCH($I24,Act_Type_Augex,0),MATCH(AW$4,Mat_Type,0))*INDEX(Escalators!$I$44:$U$49,MATCH(AW$4,Escalators!$C$44:$C$49,0),MATCH(AW$5,Escalators!$I$43:$U$43,0))</f>
        <v>0</v>
      </c>
      <c r="AX24" s="47">
        <f>INDEX(Direct_Cost_Splits_Network,MATCH($H24,RIN_Asset_Cat_Network,0),MATCH($AY$4,Direct_Cost_Type,0))*$M24*INDEX(Act_Type_Augex_Splits,MATCH($I24,Act_Type_Augex,0),MATCH(AX$4,Mat_Type,0))*INDEX(Escalators!$I$44:$U$49,MATCH(AX$4,Escalators!$C$44:$C$49,0),MATCH(AX$5,Escalators!$I$43:$U$43,0))</f>
        <v>74.425402510025648</v>
      </c>
      <c r="AY24" s="47">
        <f t="shared" si="9"/>
        <v>372.12701255012826</v>
      </c>
      <c r="AZ24" s="47">
        <f>INDEX(Direct_Cost_Splits_Network,MATCH($H24,RIN_Asset_Cat_Network,0),MATCH($BE$4,Direct_Cost_Type,0))*$N24*INDEX(Act_Type_Augex_Splits,MATCH($I24,Act_Type_Augex,0),MATCH(AZ$4,Mat_Type,0))*INDEX(Escalators!$I$44:$U$49,MATCH(AZ$4,Escalators!$C$44:$C$49,0),MATCH(AZ$5,Escalators!$I$43:$U$43,0))</f>
        <v>250.35964238538503</v>
      </c>
      <c r="BA24" s="47">
        <f>INDEX(Direct_Cost_Splits_Network,MATCH($H24,RIN_Asset_Cat_Network,0),MATCH($BE$4,Direct_Cost_Type,0))*$N24*INDEX(Act_Type_Augex_Splits,MATCH($I24,Act_Type_Augex,0),MATCH(BA$4,Mat_Type,0))*INDEX(Escalators!$I$44:$U$49,MATCH(BA$4,Escalators!$C$44:$C$49,0),MATCH(BA$5,Escalators!$I$43:$U$43,0))</f>
        <v>0</v>
      </c>
      <c r="BB24" s="47">
        <f>INDEX(Direct_Cost_Splits_Network,MATCH($H24,RIN_Asset_Cat_Network,0),MATCH($BE$4,Direct_Cost_Type,0))*$N24*INDEX(Act_Type_Augex_Splits,MATCH($I24,Act_Type_Augex,0),MATCH(BB$4,Mat_Type,0))*INDEX(Escalators!$I$44:$U$49,MATCH(BB$4,Escalators!$C$44:$C$49,0),MATCH(BB$5,Escalators!$I$43:$U$43,0))</f>
        <v>48.57724404492545</v>
      </c>
      <c r="BC24" s="47">
        <f>INDEX(Direct_Cost_Splits_Network,MATCH($H24,RIN_Asset_Cat_Network,0),MATCH($BE$4,Direct_Cost_Type,0))*$N24*INDEX(Act_Type_Augex_Splits,MATCH($I24,Act_Type_Augex,0),MATCH(BC$4,Mat_Type,0))*INDEX(Escalators!$I$44:$U$49,MATCH(BC$4,Escalators!$C$44:$C$49,0),MATCH(BC$5,Escalators!$I$43:$U$43,0))</f>
        <v>0</v>
      </c>
      <c r="BD24" s="47">
        <f>INDEX(Direct_Cost_Splits_Network,MATCH($H24,RIN_Asset_Cat_Network,0),MATCH($BE$4,Direct_Cost_Type,0))*$N24*INDEX(Act_Type_Augex_Splits,MATCH($I24,Act_Type_Augex,0),MATCH(BD$4,Mat_Type,0))*INDEX(Escalators!$I$44:$U$49,MATCH(BD$4,Escalators!$C$44:$C$49,0),MATCH(BD$5,Escalators!$I$43:$U$43,0))</f>
        <v>74.734221607577624</v>
      </c>
      <c r="BE24" s="47">
        <f t="shared" si="10"/>
        <v>373.67110803788813</v>
      </c>
      <c r="BF24" s="47">
        <f>INDEX(Direct_Cost_Splits_Network,MATCH($H24,RIN_Asset_Cat_Network,0),MATCH($BK$4,Direct_Cost_Type,0))*$O24*INDEX(Act_Type_Augex_Splits,MATCH($I24,Act_Type_Augex,0),MATCH(BF$4,Mat_Type,0))*INDEX(Escalators!$I$44:$U$49,MATCH(BF$4,Escalators!$C$44:$C$49,0),MATCH(BF$5,Escalators!$I$43:$U$43,0))</f>
        <v>227.59967489580458</v>
      </c>
      <c r="BG24" s="47">
        <f>INDEX(Direct_Cost_Splits_Network,MATCH($H24,RIN_Asset_Cat_Network,0),MATCH($BK$4,Direct_Cost_Type,0))*$O24*INDEX(Act_Type_Augex_Splits,MATCH($I24,Act_Type_Augex,0),MATCH(BG$4,Mat_Type,0))*INDEX(Escalators!$I$44:$U$49,MATCH(BG$4,Escalators!$C$44:$C$49,0),MATCH(BG$5,Escalators!$I$43:$U$43,0))</f>
        <v>0</v>
      </c>
      <c r="BH24" s="47">
        <f>INDEX(Direct_Cost_Splits_Network,MATCH($H24,RIN_Asset_Cat_Network,0),MATCH($BK$4,Direct_Cost_Type,0))*$O24*INDEX(Act_Type_Augex_Splits,MATCH($I24,Act_Type_Augex,0),MATCH(BH$4,Mat_Type,0))*INDEX(Escalators!$I$44:$U$49,MATCH(BH$4,Escalators!$C$44:$C$49,0),MATCH(BH$5,Escalators!$I$43:$U$43,0))</f>
        <v>44.161130949932229</v>
      </c>
      <c r="BI24" s="47">
        <f>INDEX(Direct_Cost_Splits_Network,MATCH($H24,RIN_Asset_Cat_Network,0),MATCH($BK$4,Direct_Cost_Type,0))*$O24*INDEX(Act_Type_Augex_Splits,MATCH($I24,Act_Type_Augex,0),MATCH(BI$4,Mat_Type,0))*INDEX(Escalators!$I$44:$U$49,MATCH(BI$4,Escalators!$C$44:$C$49,0),MATCH(BI$5,Escalators!$I$43:$U$43,0))</f>
        <v>0</v>
      </c>
      <c r="BJ24" s="47">
        <f>INDEX(Direct_Cost_Splits_Network,MATCH($H24,RIN_Asset_Cat_Network,0),MATCH($BK$4,Direct_Cost_Type,0))*$O24*INDEX(Act_Type_Augex_Splits,MATCH($I24,Act_Type_Augex,0),MATCH(BJ$4,Mat_Type,0))*INDEX(Escalators!$I$44:$U$49,MATCH(BJ$4,Escalators!$C$44:$C$49,0),MATCH(BJ$5,Escalators!$I$43:$U$43,0))</f>
        <v>67.940201461434199</v>
      </c>
      <c r="BK24" s="47">
        <f t="shared" si="11"/>
        <v>339.70100730717098</v>
      </c>
      <c r="BL24" s="47">
        <f>INDEX(Direct_Cost_Splits_Network,MATCH($H24,RIN_Asset_Cat_Network,0),MATCH($BQ$4,Direct_Cost_Type,0))*$P24*INDEX(Act_Type_Augex_Splits,MATCH($I24,Act_Type_Augex,0),MATCH(BL$4,Mat_Type,0))*INDEX(Escalators!$I$44:$U$49,MATCH(BL$4,Escalators!$C$44:$C$49,0),MATCH(BL$5,Escalators!$I$43:$U$43,0))</f>
        <v>208.97788331342053</v>
      </c>
      <c r="BM24" s="47">
        <f>INDEX(Direct_Cost_Splits_Network,MATCH($H24,RIN_Asset_Cat_Network,0),MATCH($BQ$4,Direct_Cost_Type,0))*$P24*INDEX(Act_Type_Augex_Splits,MATCH($I24,Act_Type_Augex,0),MATCH(BM$4,Mat_Type,0))*INDEX(Escalators!$I$44:$U$49,MATCH(BM$4,Escalators!$C$44:$C$49,0),MATCH(BM$5,Escalators!$I$43:$U$43,0))</f>
        <v>0</v>
      </c>
      <c r="BN24" s="47">
        <f>INDEX(Direct_Cost_Splits_Network,MATCH($H24,RIN_Asset_Cat_Network,0),MATCH($BQ$4,Direct_Cost_Type,0))*$P24*INDEX(Act_Type_Augex_Splits,MATCH($I24,Act_Type_Augex,0),MATCH(BN$4,Mat_Type,0))*INDEX(Escalators!$I$44:$U$49,MATCH(BN$4,Escalators!$C$44:$C$49,0),MATCH(BN$5,Escalators!$I$43:$U$43,0))</f>
        <v>40.547947508574133</v>
      </c>
      <c r="BO24" s="47">
        <f>INDEX(Direct_Cost_Splits_Network,MATCH($H24,RIN_Asset_Cat_Network,0),MATCH($BQ$4,Direct_Cost_Type,0))*$P24*INDEX(Act_Type_Augex_Splits,MATCH($I24,Act_Type_Augex,0),MATCH(BO$4,Mat_Type,0))*INDEX(Escalators!$I$44:$U$49,MATCH(BO$4,Escalators!$C$44:$C$49,0),MATCH(BO$5,Escalators!$I$43:$U$43,0))</f>
        <v>0</v>
      </c>
      <c r="BP24" s="47">
        <f>INDEX(Direct_Cost_Splits_Network,MATCH($H24,RIN_Asset_Cat_Network,0),MATCH($BQ$4,Direct_Cost_Type,0))*$P24*INDEX(Act_Type_Augex_Splits,MATCH($I24,Act_Type_Augex,0),MATCH(BP$4,Mat_Type,0))*INDEX(Escalators!$I$44:$U$49,MATCH(BP$4,Escalators!$C$44:$C$49,0),MATCH(BP$5,Escalators!$I$43:$U$43,0))</f>
        <v>62.381457705498669</v>
      </c>
      <c r="BQ24" s="47">
        <f t="shared" si="12"/>
        <v>311.90728852749334</v>
      </c>
      <c r="BR24" s="47">
        <f>INDEX(Direct_Cost_Splits_Network,MATCH($H24,RIN_Asset_Cat_Network,0),MATCH($BW$4,Direct_Cost_Type,0))*$Q24*INDEX(Act_Type_Augex_Splits,MATCH($I24,Act_Type_Augex,0),MATCH(BR$4,Mat_Type,0))*INDEX(Escalators!$I$44:$U$49,MATCH(BR$4,Escalators!$C$44:$C$49,0),MATCH(BR$5,Escalators!$I$43:$U$43,0))</f>
        <v>200.70153149902765</v>
      </c>
      <c r="BS24" s="47">
        <f>INDEX(Direct_Cost_Splits_Network,MATCH($H24,RIN_Asset_Cat_Network,0),MATCH($BW$4,Direct_Cost_Type,0))*$Q24*INDEX(Act_Type_Augex_Splits,MATCH($I24,Act_Type_Augex,0),MATCH(BS$4,Mat_Type,0))*INDEX(Escalators!$I$44:$U$49,MATCH(BS$4,Escalators!$C$44:$C$49,0),MATCH(BS$5,Escalators!$I$43:$U$43,0))</f>
        <v>0</v>
      </c>
      <c r="BT24" s="47">
        <f>INDEX(Direct_Cost_Splits_Network,MATCH($H24,RIN_Asset_Cat_Network,0),MATCH($BW$4,Direct_Cost_Type,0))*$Q24*INDEX(Act_Type_Augex_Splits,MATCH($I24,Act_Type_Augex,0),MATCH(BT$4,Mat_Type,0))*INDEX(Escalators!$I$44:$U$49,MATCH(BT$4,Escalators!$C$44:$C$49,0),MATCH(BT$5,Escalators!$I$43:$U$43,0))</f>
        <v>38.942088201303875</v>
      </c>
      <c r="BU24" s="47">
        <f>INDEX(Direct_Cost_Splits_Network,MATCH($H24,RIN_Asset_Cat_Network,0),MATCH($BW$4,Direct_Cost_Type,0))*$Q24*INDEX(Act_Type_Augex_Splits,MATCH($I24,Act_Type_Augex,0),MATCH(BU$4,Mat_Type,0))*INDEX(Escalators!$I$44:$U$49,MATCH(BU$4,Escalators!$C$44:$C$49,0),MATCH(BU$5,Escalators!$I$43:$U$43,0))</f>
        <v>0</v>
      </c>
      <c r="BV24" s="47">
        <f>INDEX(Direct_Cost_Splits_Network,MATCH($H24,RIN_Asset_Cat_Network,0),MATCH($BW$4,Direct_Cost_Type,0))*$Q24*INDEX(Act_Type_Augex_Splits,MATCH($I24,Act_Type_Augex,0),MATCH(BV$4,Mat_Type,0))*INDEX(Escalators!$I$44:$U$49,MATCH(BV$4,Escalators!$C$44:$C$49,0),MATCH(BV$5,Escalators!$I$43:$U$43,0))</f>
        <v>59.910904925082882</v>
      </c>
      <c r="BW24" s="47">
        <f t="shared" si="13"/>
        <v>299.55452462541439</v>
      </c>
      <c r="BY24" s="47">
        <f>INDEX(Direct_Cost_Splits_Network,MATCH($H24,RIN_Asset_Cat_Network,0),MATCH($BY$4,Direct_Cost_Type,0))*J24*HLOOKUP(BY$5,Escalators!$I$25:$U$30,6,FALSE)</f>
        <v>0</v>
      </c>
      <c r="BZ24" s="47">
        <f>INDEX(Direct_Cost_Splits_Network,MATCH($H24,RIN_Asset_Cat_Network,0),MATCH($BY$4,Direct_Cost_Type,0))*K24*HLOOKUP(BZ$5,Escalators!$I$25:$U$30,6,FALSE)</f>
        <v>0</v>
      </c>
      <c r="CA24" s="47">
        <f>INDEX(Direct_Cost_Splits_Network,MATCH($H24,RIN_Asset_Cat_Network,0),MATCH($BY$4,Direct_Cost_Type,0))*L24*HLOOKUP(CA$5,Escalators!$I$25:$U$30,6,FALSE)</f>
        <v>0</v>
      </c>
      <c r="CB24" s="47">
        <f>INDEX(Direct_Cost_Splits_Network,MATCH($H24,RIN_Asset_Cat_Network,0),MATCH($BY$4,Direct_Cost_Type,0))*M24*HLOOKUP(CB$5,Escalators!$I$25:$U$30,6,FALSE)</f>
        <v>523.68635046638553</v>
      </c>
      <c r="CC24" s="47">
        <f>INDEX(Direct_Cost_Splits_Network,MATCH($H24,RIN_Asset_Cat_Network,0),MATCH($BY$4,Direct_Cost_Type,0))*N24*HLOOKUP(CC$5,Escalators!$I$25:$U$30,6,FALSE)</f>
        <v>531.25472484932425</v>
      </c>
      <c r="CD24" s="47">
        <f>INDEX(Direct_Cost_Splits_Network,MATCH($H24,RIN_Asset_Cat_Network,0),MATCH($BY$4,Direct_Cost_Type,0))*O24*HLOOKUP(CD$5,Escalators!$I$25:$U$30,6,FALSE)</f>
        <v>488.1573541674689</v>
      </c>
      <c r="CE24" s="47">
        <f>INDEX(Direct_Cost_Splits_Network,MATCH($H24,RIN_Asset_Cat_Network,0),MATCH($BY$4,Direct_Cost_Type,0))*P24*HLOOKUP(CE$5,Escalators!$I$25:$U$30,6,FALSE)</f>
        <v>452.45521689982905</v>
      </c>
      <c r="CF24" s="47">
        <f>INDEX(Direct_Cost_Splits_Network,MATCH($H24,RIN_Asset_Cat_Network,0),MATCH($BY$4,Direct_Cost_Type,0))*Q24*HLOOKUP(CF$5,Escalators!$I$25:$U$30,6,FALSE)</f>
        <v>438.36011695474366</v>
      </c>
      <c r="CH24" s="47">
        <f t="shared" si="26"/>
        <v>0</v>
      </c>
      <c r="CI24" s="47">
        <f t="shared" si="27"/>
        <v>0</v>
      </c>
      <c r="CJ24" s="47">
        <f t="shared" si="28"/>
        <v>0</v>
      </c>
      <c r="CK24" s="47">
        <f t="shared" si="29"/>
        <v>139.27727366932407</v>
      </c>
      <c r="CL24" s="47">
        <f t="shared" si="30"/>
        <v>139.85518766795195</v>
      </c>
      <c r="CM24" s="47">
        <f t="shared" si="31"/>
        <v>127.14107969813816</v>
      </c>
      <c r="CN24" s="47">
        <f t="shared" si="32"/>
        <v>116.73862772283594</v>
      </c>
      <c r="CO24" s="47">
        <f t="shared" si="33"/>
        <v>112.11531573381274</v>
      </c>
      <c r="CQ24" s="373">
        <f t="shared" si="15"/>
        <v>0</v>
      </c>
      <c r="CR24" s="47">
        <f t="shared" si="16"/>
        <v>0</v>
      </c>
      <c r="CS24" s="47">
        <f t="shared" si="17"/>
        <v>0</v>
      </c>
      <c r="CT24" s="47">
        <f t="shared" si="18"/>
        <v>1227.8992854840708</v>
      </c>
      <c r="CU24" s="47">
        <f t="shared" si="19"/>
        <v>1240.3761617587732</v>
      </c>
      <c r="CV24" s="47">
        <f t="shared" si="20"/>
        <v>1134.7271728085705</v>
      </c>
      <c r="CW24" s="47">
        <f t="shared" si="21"/>
        <v>1047.6842013062703</v>
      </c>
      <c r="CX24" s="47">
        <f t="shared" si="22"/>
        <v>1011.4235505626929</v>
      </c>
      <c r="CZ24" s="39"/>
    </row>
    <row r="25" spans="2:104" x14ac:dyDescent="0.3">
      <c r="B25" s="7" t="s">
        <v>429</v>
      </c>
      <c r="C25" s="7" t="s">
        <v>584</v>
      </c>
      <c r="D25" s="7" t="s">
        <v>425</v>
      </c>
      <c r="E25" s="7" t="s">
        <v>45</v>
      </c>
      <c r="F25" s="7" t="s">
        <v>51</v>
      </c>
      <c r="G25" s="7" t="s">
        <v>10</v>
      </c>
      <c r="H25" s="7" t="s">
        <v>165</v>
      </c>
      <c r="I25" s="7" t="s">
        <v>215</v>
      </c>
      <c r="J25" s="45"/>
      <c r="K25" s="45"/>
      <c r="L25" s="45"/>
      <c r="M25" s="45">
        <v>250</v>
      </c>
      <c r="N25" s="45">
        <v>250</v>
      </c>
      <c r="O25" s="45">
        <v>250</v>
      </c>
      <c r="P25" s="45">
        <v>250</v>
      </c>
      <c r="Q25" s="45">
        <v>250</v>
      </c>
      <c r="S25" s="47">
        <f>INDEX(Direct_Cost_Splits_Network,MATCH($H25,RIN_Asset_Cat_Network,0),MATCH($S$4,Direct_Cost_Type,0))*J25*HLOOKUP(S$5,Escalators!$I$25:$U$30,3,FALSE)</f>
        <v>0</v>
      </c>
      <c r="T25" s="47">
        <f>INDEX(Direct_Cost_Splits_Network,MATCH($H25,RIN_Asset_Cat_Network,0),MATCH($S$4,Direct_Cost_Type,0))*K25*HLOOKUP(T$5,Escalators!$I$25:$U$30,3,FALSE)</f>
        <v>0</v>
      </c>
      <c r="U25" s="47">
        <f>INDEX(Direct_Cost_Splits_Network,MATCH($H25,RIN_Asset_Cat_Network,0),MATCH($S$4,Direct_Cost_Type,0))*L25*HLOOKUP(U$5,Escalators!$I$25:$U$30,3,FALSE)</f>
        <v>0</v>
      </c>
      <c r="V25" s="47">
        <f>INDEX(Direct_Cost_Splits_Network,MATCH($H25,RIN_Asset_Cat_Network,0),MATCH($S$4,Direct_Cost_Type,0))*M25*HLOOKUP(V$5,Escalators!$I$25:$U$30,3,FALSE)</f>
        <v>40.00179435647987</v>
      </c>
      <c r="W25" s="47">
        <f>INDEX(Direct_Cost_Splits_Network,MATCH($H25,RIN_Asset_Cat_Network,0),MATCH($S$4,Direct_Cost_Type,0))*N25*HLOOKUP(W$5,Escalators!$I$25:$U$30,3,FALSE)</f>
        <v>40.41221925694397</v>
      </c>
      <c r="X25" s="47">
        <f>INDEX(Direct_Cost_Splits_Network,MATCH($H25,RIN_Asset_Cat_Network,0),MATCH($S$4,Direct_Cost_Type,0))*O25*HLOOKUP(X$5,Escalators!$I$25:$U$30,3,FALSE)</f>
        <v>40.847211735407399</v>
      </c>
      <c r="Y25" s="47">
        <f>INDEX(Direct_Cost_Splits_Network,MATCH($H25,RIN_Asset_Cat_Network,0),MATCH($S$4,Direct_Cost_Type,0))*P25*HLOOKUP(Y$5,Escalators!$I$25:$U$30,3,FALSE)</f>
        <v>41.233432711908918</v>
      </c>
      <c r="Z25" s="47">
        <f>INDEX(Direct_Cost_Splits_Network,MATCH($H25,RIN_Asset_Cat_Network,0),MATCH($S$4,Direct_Cost_Type,0))*Q25*HLOOKUP(Z$5,Escalators!$I$25:$U$30,3,FALSE)</f>
        <v>41.596286919773711</v>
      </c>
      <c r="AB25" s="6">
        <f>INDEX(Direct_Cost_Splits_Network,MATCH($H25,RIN_Asset_Cat_Network,0),MATCH($AG$4,Direct_Cost_Type,0))*$J25*INDEX(Act_Type_Augex_Splits,MATCH($I25,Act_Type_Augex,0),MATCH(AB$4,Mat_Type,0))*INDEX(Escalators!$I$44:$U$49,MATCH(AB$4,Escalators!$C$44:$C$49,0),MATCH(AB$5,Escalators!$I$43:$U$43,0))</f>
        <v>0</v>
      </c>
      <c r="AC25" s="6">
        <f>INDEX(Direct_Cost_Splits_Network,MATCH($H25,RIN_Asset_Cat_Network,0),MATCH($AG$4,Direct_Cost_Type,0))*$J25*INDEX(Act_Type_Augex_Splits,MATCH($I25,Act_Type_Augex,0),MATCH(AC$4,Mat_Type,0))*INDEX(Escalators!$I$44:$U$49,MATCH(AC$4,Escalators!$C$44:$C$49,0),MATCH(AC$5,Escalators!$I$43:$U$43,0))</f>
        <v>0</v>
      </c>
      <c r="AD25" s="6">
        <f>INDEX(Direct_Cost_Splits_Network,MATCH($H25,RIN_Asset_Cat_Network,0),MATCH($AG$4,Direct_Cost_Type,0))*$J25*INDEX(Act_Type_Augex_Splits,MATCH($I25,Act_Type_Augex,0),MATCH(AD$4,Mat_Type,0))*INDEX(Escalators!$I$44:$U$49,MATCH(AD$4,Escalators!$C$44:$C$49,0),MATCH(AD$5,Escalators!$I$43:$U$43,0))</f>
        <v>0</v>
      </c>
      <c r="AE25" s="6">
        <f>INDEX(Direct_Cost_Splits_Network,MATCH($H25,RIN_Asset_Cat_Network,0),MATCH($AG$4,Direct_Cost_Type,0))*$J25*INDEX(Act_Type_Augex_Splits,MATCH($I25,Act_Type_Augex,0),MATCH(AE$4,Mat_Type,0))*INDEX(Escalators!$I$44:$U$49,MATCH(AE$4,Escalators!$C$44:$C$49,0),MATCH(AE$5,Escalators!$I$43:$U$43,0))</f>
        <v>0</v>
      </c>
      <c r="AF25" s="6">
        <f>INDEX(Direct_Cost_Splits_Network,MATCH($H25,RIN_Asset_Cat_Network,0),MATCH($AG$4,Direct_Cost_Type,0))*$J25*INDEX(Act_Type_Augex_Splits,MATCH($I25,Act_Type_Augex,0),MATCH(AF$4,Mat_Type,0))*INDEX(Escalators!$I$44:$U$49,MATCH(AF$4,Escalators!$C$44:$C$49,0),MATCH(AF$5,Escalators!$I$43:$U$43,0))</f>
        <v>0</v>
      </c>
      <c r="AG25" s="47">
        <f t="shared" si="23"/>
        <v>0</v>
      </c>
      <c r="AH25" s="47">
        <f>INDEX(Direct_Cost_Splits_Network,MATCH($H25,RIN_Asset_Cat_Network,0),MATCH($AY$4,Direct_Cost_Type,0))*$K25*INDEX(Act_Type_Augex_Splits,MATCH($I25,Act_Type_Augex,0),MATCH(AH$4,Mat_Type,0))*INDEX(Escalators!$I$44:$U$49,MATCH(AH$4,Escalators!$C$44:$C$49,0),MATCH(AH$5,Escalators!$I$43:$U$43,0))</f>
        <v>0</v>
      </c>
      <c r="AI25" s="47">
        <f>INDEX(Direct_Cost_Splits_Network,MATCH($H25,RIN_Asset_Cat_Network,0),MATCH($AY$4,Direct_Cost_Type,0))*$K25*INDEX(Act_Type_Augex_Splits,MATCH($I25,Act_Type_Augex,0),MATCH(AI$4,Mat_Type,0))*INDEX(Escalators!$I$44:$U$49,MATCH(AI$4,Escalators!$C$44:$C$49,0),MATCH(AI$5,Escalators!$I$43:$U$43,0))</f>
        <v>0</v>
      </c>
      <c r="AJ25" s="47">
        <f>INDEX(Direct_Cost_Splits_Network,MATCH($H25,RIN_Asset_Cat_Network,0),MATCH($AY$4,Direct_Cost_Type,0))*$K25*INDEX(Act_Type_Augex_Splits,MATCH($I25,Act_Type_Augex,0),MATCH(AJ$4,Mat_Type,0))*INDEX(Escalators!$I$44:$U$49,MATCH(AJ$4,Escalators!$C$44:$C$49,0),MATCH(AJ$5,Escalators!$I$43:$U$43,0))</f>
        <v>0</v>
      </c>
      <c r="AK25" s="47">
        <f>INDEX(Direct_Cost_Splits_Network,MATCH($H25,RIN_Asset_Cat_Network,0),MATCH($AY$4,Direct_Cost_Type,0))*$K25*INDEX(Act_Type_Augex_Splits,MATCH($I25,Act_Type_Augex,0),MATCH(AK$4,Mat_Type,0))*INDEX(Escalators!$I$44:$U$49,MATCH(AK$4,Escalators!$C$44:$C$49,0),MATCH(AK$5,Escalators!$I$43:$U$43,0))</f>
        <v>0</v>
      </c>
      <c r="AL25" s="47">
        <f>INDEX(Direct_Cost_Splits_Network,MATCH($H25,RIN_Asset_Cat_Network,0),MATCH($AY$4,Direct_Cost_Type,0))*$K25*INDEX(Act_Type_Augex_Splits,MATCH($I25,Act_Type_Augex,0),MATCH(AL$4,Mat_Type,0))*INDEX(Escalators!$I$44:$U$49,MATCH(AL$4,Escalators!$C$44:$C$49,0),MATCH(AL$5,Escalators!$I$43:$U$43,0))</f>
        <v>0</v>
      </c>
      <c r="AM25" s="47">
        <f t="shared" si="24"/>
        <v>0</v>
      </c>
      <c r="AN25" s="47">
        <f>INDEX(Direct_Cost_Splits_Network,MATCH($H25,RIN_Asset_Cat_Network,0),MATCH($AY$4,Direct_Cost_Type,0))*$L25*INDEX(Act_Type_Augex_Splits,MATCH($I25,Act_Type_Augex,0),MATCH(AN$4,Mat_Type,0))*INDEX(Escalators!$I$44:$U$49,MATCH(AN$4,Escalators!$C$44:$C$49,0),MATCH(AN$5,Escalators!$I$43:$U$43,0))</f>
        <v>0</v>
      </c>
      <c r="AO25" s="47">
        <f>INDEX(Direct_Cost_Splits_Network,MATCH($H25,RIN_Asset_Cat_Network,0),MATCH($AY$4,Direct_Cost_Type,0))*$L25*INDEX(Act_Type_Augex_Splits,MATCH($I25,Act_Type_Augex,0),MATCH(AO$4,Mat_Type,0))*INDEX(Escalators!$I$44:$U$49,MATCH(AO$4,Escalators!$C$44:$C$49,0),MATCH(AO$5,Escalators!$I$43:$U$43,0))</f>
        <v>0</v>
      </c>
      <c r="AP25" s="47">
        <f>INDEX(Direct_Cost_Splits_Network,MATCH($H25,RIN_Asset_Cat_Network,0),MATCH($AY$4,Direct_Cost_Type,0))*$L25*INDEX(Act_Type_Augex_Splits,MATCH($I25,Act_Type_Augex,0),MATCH(AP$4,Mat_Type,0))*INDEX(Escalators!$I$44:$U$49,MATCH(AP$4,Escalators!$C$44:$C$49,0),MATCH(AP$5,Escalators!$I$43:$U$43,0))</f>
        <v>0</v>
      </c>
      <c r="AQ25" s="47">
        <f>INDEX(Direct_Cost_Splits_Network,MATCH($H25,RIN_Asset_Cat_Network,0),MATCH($AY$4,Direct_Cost_Type,0))*$L25*INDEX(Act_Type_Augex_Splits,MATCH($I25,Act_Type_Augex,0),MATCH(AQ$4,Mat_Type,0))*INDEX(Escalators!$I$44:$U$49,MATCH(AQ$4,Escalators!$C$44:$C$49,0),MATCH(AQ$5,Escalators!$I$43:$U$43,0))</f>
        <v>0</v>
      </c>
      <c r="AR25" s="47">
        <f>INDEX(Direct_Cost_Splits_Network,MATCH($H25,RIN_Asset_Cat_Network,0),MATCH($AY$4,Direct_Cost_Type,0))*$L25*INDEX(Act_Type_Augex_Splits,MATCH($I25,Act_Type_Augex,0),MATCH(AR$4,Mat_Type,0))*INDEX(Escalators!$I$44:$U$49,MATCH(AR$4,Escalators!$C$44:$C$49,0),MATCH(AR$5,Escalators!$I$43:$U$43,0))</f>
        <v>0</v>
      </c>
      <c r="AS25" s="47">
        <f t="shared" si="8"/>
        <v>0</v>
      </c>
      <c r="AT25" s="47">
        <f>INDEX(Direct_Cost_Splits_Network,MATCH($H25,RIN_Asset_Cat_Network,0),MATCH($AY$4,Direct_Cost_Type,0))*$M25*INDEX(Act_Type_Augex_Splits,MATCH($I25,Act_Type_Augex,0),MATCH(AT$4,Mat_Type,0))*INDEX(Escalators!$I$44:$U$49,MATCH(AT$4,Escalators!$C$44:$C$49,0),MATCH(AT$5,Escalators!$I$43:$U$43,0))</f>
        <v>51.727198839955591</v>
      </c>
      <c r="AU25" s="47">
        <f>INDEX(Direct_Cost_Splits_Network,MATCH($H25,RIN_Asset_Cat_Network,0),MATCH($AY$4,Direct_Cost_Type,0))*$M25*INDEX(Act_Type_Augex_Splits,MATCH($I25,Act_Type_Augex,0),MATCH(AU$4,Mat_Type,0))*INDEX(Escalators!$I$44:$U$49,MATCH(AU$4,Escalators!$C$44:$C$49,0),MATCH(AU$5,Escalators!$I$43:$U$43,0))</f>
        <v>0</v>
      </c>
      <c r="AV25" s="47">
        <f>INDEX(Direct_Cost_Splits_Network,MATCH($H25,RIN_Asset_Cat_Network,0),MATCH($AY$4,Direct_Cost_Type,0))*$M25*INDEX(Act_Type_Augex_Splits,MATCH($I25,Act_Type_Augex,0),MATCH(AV$4,Mat_Type,0))*INDEX(Escalators!$I$44:$U$49,MATCH(AV$4,Escalators!$C$44:$C$49,0),MATCH(AV$5,Escalators!$I$43:$U$43,0))</f>
        <v>10.036620670439143</v>
      </c>
      <c r="AW25" s="47">
        <f>INDEX(Direct_Cost_Splits_Network,MATCH($H25,RIN_Asset_Cat_Network,0),MATCH($AY$4,Direct_Cost_Type,0))*$M25*INDEX(Act_Type_Augex_Splits,MATCH($I25,Act_Type_Augex,0),MATCH(AW$4,Mat_Type,0))*INDEX(Escalators!$I$44:$U$49,MATCH(AW$4,Escalators!$C$44:$C$49,0),MATCH(AW$5,Escalators!$I$43:$U$43,0))</f>
        <v>0</v>
      </c>
      <c r="AX25" s="47">
        <f>INDEX(Direct_Cost_Splits_Network,MATCH($H25,RIN_Asset_Cat_Network,0),MATCH($AY$4,Direct_Cost_Type,0))*$M25*INDEX(Act_Type_Augex_Splits,MATCH($I25,Act_Type_Augex,0),MATCH(AX$4,Mat_Type,0))*INDEX(Escalators!$I$44:$U$49,MATCH(AX$4,Escalators!$C$44:$C$49,0),MATCH(AX$5,Escalators!$I$43:$U$43,0))</f>
        <v>15.440954877598683</v>
      </c>
      <c r="AY25" s="47">
        <f t="shared" si="9"/>
        <v>77.20477438799341</v>
      </c>
      <c r="AZ25" s="47">
        <f>INDEX(Direct_Cost_Splits_Network,MATCH($H25,RIN_Asset_Cat_Network,0),MATCH($BE$4,Direct_Cost_Type,0))*$N25*INDEX(Act_Type_Augex_Splits,MATCH($I25,Act_Type_Augex,0),MATCH(AZ$4,Mat_Type,0))*INDEX(Escalators!$I$44:$U$49,MATCH(AZ$4,Escalators!$C$44:$C$49,0),MATCH(AZ$5,Escalators!$I$43:$U$43,0))</f>
        <v>51.727198839955591</v>
      </c>
      <c r="BA25" s="47">
        <f>INDEX(Direct_Cost_Splits_Network,MATCH($H25,RIN_Asset_Cat_Network,0),MATCH($BE$4,Direct_Cost_Type,0))*$N25*INDEX(Act_Type_Augex_Splits,MATCH($I25,Act_Type_Augex,0),MATCH(BA$4,Mat_Type,0))*INDEX(Escalators!$I$44:$U$49,MATCH(BA$4,Escalators!$C$44:$C$49,0),MATCH(BA$5,Escalators!$I$43:$U$43,0))</f>
        <v>0</v>
      </c>
      <c r="BB25" s="47">
        <f>INDEX(Direct_Cost_Splits_Network,MATCH($H25,RIN_Asset_Cat_Network,0),MATCH($BE$4,Direct_Cost_Type,0))*$N25*INDEX(Act_Type_Augex_Splits,MATCH($I25,Act_Type_Augex,0),MATCH(BB$4,Mat_Type,0))*INDEX(Escalators!$I$44:$U$49,MATCH(BB$4,Escalators!$C$44:$C$49,0),MATCH(BB$5,Escalators!$I$43:$U$43,0))</f>
        <v>10.036620670439143</v>
      </c>
      <c r="BC25" s="47">
        <f>INDEX(Direct_Cost_Splits_Network,MATCH($H25,RIN_Asset_Cat_Network,0),MATCH($BE$4,Direct_Cost_Type,0))*$N25*INDEX(Act_Type_Augex_Splits,MATCH($I25,Act_Type_Augex,0),MATCH(BC$4,Mat_Type,0))*INDEX(Escalators!$I$44:$U$49,MATCH(BC$4,Escalators!$C$44:$C$49,0),MATCH(BC$5,Escalators!$I$43:$U$43,0))</f>
        <v>0</v>
      </c>
      <c r="BD25" s="47">
        <f>INDEX(Direct_Cost_Splits_Network,MATCH($H25,RIN_Asset_Cat_Network,0),MATCH($BE$4,Direct_Cost_Type,0))*$N25*INDEX(Act_Type_Augex_Splits,MATCH($I25,Act_Type_Augex,0),MATCH(BD$4,Mat_Type,0))*INDEX(Escalators!$I$44:$U$49,MATCH(BD$4,Escalators!$C$44:$C$49,0),MATCH(BD$5,Escalators!$I$43:$U$43,0))</f>
        <v>15.440954877598683</v>
      </c>
      <c r="BE25" s="47">
        <f t="shared" si="10"/>
        <v>77.20477438799341</v>
      </c>
      <c r="BF25" s="47">
        <f>INDEX(Direct_Cost_Splits_Network,MATCH($H25,RIN_Asset_Cat_Network,0),MATCH($BK$4,Direct_Cost_Type,0))*$O25*INDEX(Act_Type_Augex_Splits,MATCH($I25,Act_Type_Augex,0),MATCH(BF$4,Mat_Type,0))*INDEX(Escalators!$I$44:$U$49,MATCH(BF$4,Escalators!$C$44:$C$49,0),MATCH(BF$5,Escalators!$I$43:$U$43,0))</f>
        <v>51.727198839955591</v>
      </c>
      <c r="BG25" s="47">
        <f>INDEX(Direct_Cost_Splits_Network,MATCH($H25,RIN_Asset_Cat_Network,0),MATCH($BK$4,Direct_Cost_Type,0))*$O25*INDEX(Act_Type_Augex_Splits,MATCH($I25,Act_Type_Augex,0),MATCH(BG$4,Mat_Type,0))*INDEX(Escalators!$I$44:$U$49,MATCH(BG$4,Escalators!$C$44:$C$49,0),MATCH(BG$5,Escalators!$I$43:$U$43,0))</f>
        <v>0</v>
      </c>
      <c r="BH25" s="47">
        <f>INDEX(Direct_Cost_Splits_Network,MATCH($H25,RIN_Asset_Cat_Network,0),MATCH($BK$4,Direct_Cost_Type,0))*$O25*INDEX(Act_Type_Augex_Splits,MATCH($I25,Act_Type_Augex,0),MATCH(BH$4,Mat_Type,0))*INDEX(Escalators!$I$44:$U$49,MATCH(BH$4,Escalators!$C$44:$C$49,0),MATCH(BH$5,Escalators!$I$43:$U$43,0))</f>
        <v>10.036620670439143</v>
      </c>
      <c r="BI25" s="47">
        <f>INDEX(Direct_Cost_Splits_Network,MATCH($H25,RIN_Asset_Cat_Network,0),MATCH($BK$4,Direct_Cost_Type,0))*$O25*INDEX(Act_Type_Augex_Splits,MATCH($I25,Act_Type_Augex,0),MATCH(BI$4,Mat_Type,0))*INDEX(Escalators!$I$44:$U$49,MATCH(BI$4,Escalators!$C$44:$C$49,0),MATCH(BI$5,Escalators!$I$43:$U$43,0))</f>
        <v>0</v>
      </c>
      <c r="BJ25" s="47">
        <f>INDEX(Direct_Cost_Splits_Network,MATCH($H25,RIN_Asset_Cat_Network,0),MATCH($BK$4,Direct_Cost_Type,0))*$O25*INDEX(Act_Type_Augex_Splits,MATCH($I25,Act_Type_Augex,0),MATCH(BJ$4,Mat_Type,0))*INDEX(Escalators!$I$44:$U$49,MATCH(BJ$4,Escalators!$C$44:$C$49,0),MATCH(BJ$5,Escalators!$I$43:$U$43,0))</f>
        <v>15.440954877598683</v>
      </c>
      <c r="BK25" s="47">
        <f t="shared" si="11"/>
        <v>77.20477438799341</v>
      </c>
      <c r="BL25" s="47">
        <f>INDEX(Direct_Cost_Splits_Network,MATCH($H25,RIN_Asset_Cat_Network,0),MATCH($BQ$4,Direct_Cost_Type,0))*$P25*INDEX(Act_Type_Augex_Splits,MATCH($I25,Act_Type_Augex,0),MATCH(BL$4,Mat_Type,0))*INDEX(Escalators!$I$44:$U$49,MATCH(BL$4,Escalators!$C$44:$C$49,0),MATCH(BL$5,Escalators!$I$43:$U$43,0))</f>
        <v>51.727198839955591</v>
      </c>
      <c r="BM25" s="47">
        <f>INDEX(Direct_Cost_Splits_Network,MATCH($H25,RIN_Asset_Cat_Network,0),MATCH($BQ$4,Direct_Cost_Type,0))*$P25*INDEX(Act_Type_Augex_Splits,MATCH($I25,Act_Type_Augex,0),MATCH(BM$4,Mat_Type,0))*INDEX(Escalators!$I$44:$U$49,MATCH(BM$4,Escalators!$C$44:$C$49,0),MATCH(BM$5,Escalators!$I$43:$U$43,0))</f>
        <v>0</v>
      </c>
      <c r="BN25" s="47">
        <f>INDEX(Direct_Cost_Splits_Network,MATCH($H25,RIN_Asset_Cat_Network,0),MATCH($BQ$4,Direct_Cost_Type,0))*$P25*INDEX(Act_Type_Augex_Splits,MATCH($I25,Act_Type_Augex,0),MATCH(BN$4,Mat_Type,0))*INDEX(Escalators!$I$44:$U$49,MATCH(BN$4,Escalators!$C$44:$C$49,0),MATCH(BN$5,Escalators!$I$43:$U$43,0))</f>
        <v>10.036620670439143</v>
      </c>
      <c r="BO25" s="47">
        <f>INDEX(Direct_Cost_Splits_Network,MATCH($H25,RIN_Asset_Cat_Network,0),MATCH($BQ$4,Direct_Cost_Type,0))*$P25*INDEX(Act_Type_Augex_Splits,MATCH($I25,Act_Type_Augex,0),MATCH(BO$4,Mat_Type,0))*INDEX(Escalators!$I$44:$U$49,MATCH(BO$4,Escalators!$C$44:$C$49,0),MATCH(BO$5,Escalators!$I$43:$U$43,0))</f>
        <v>0</v>
      </c>
      <c r="BP25" s="47">
        <f>INDEX(Direct_Cost_Splits_Network,MATCH($H25,RIN_Asset_Cat_Network,0),MATCH($BQ$4,Direct_Cost_Type,0))*$P25*INDEX(Act_Type_Augex_Splits,MATCH($I25,Act_Type_Augex,0),MATCH(BP$4,Mat_Type,0))*INDEX(Escalators!$I$44:$U$49,MATCH(BP$4,Escalators!$C$44:$C$49,0),MATCH(BP$5,Escalators!$I$43:$U$43,0))</f>
        <v>15.440954877598683</v>
      </c>
      <c r="BQ25" s="47">
        <f t="shared" si="12"/>
        <v>77.20477438799341</v>
      </c>
      <c r="BR25" s="47">
        <f>INDEX(Direct_Cost_Splits_Network,MATCH($H25,RIN_Asset_Cat_Network,0),MATCH($BW$4,Direct_Cost_Type,0))*$Q25*INDEX(Act_Type_Augex_Splits,MATCH($I25,Act_Type_Augex,0),MATCH(BR$4,Mat_Type,0))*INDEX(Escalators!$I$44:$U$49,MATCH(BR$4,Escalators!$C$44:$C$49,0),MATCH(BR$5,Escalators!$I$43:$U$43,0))</f>
        <v>51.727198839955591</v>
      </c>
      <c r="BS25" s="47">
        <f>INDEX(Direct_Cost_Splits_Network,MATCH($H25,RIN_Asset_Cat_Network,0),MATCH($BW$4,Direct_Cost_Type,0))*$Q25*INDEX(Act_Type_Augex_Splits,MATCH($I25,Act_Type_Augex,0),MATCH(BS$4,Mat_Type,0))*INDEX(Escalators!$I$44:$U$49,MATCH(BS$4,Escalators!$C$44:$C$49,0),MATCH(BS$5,Escalators!$I$43:$U$43,0))</f>
        <v>0</v>
      </c>
      <c r="BT25" s="47">
        <f>INDEX(Direct_Cost_Splits_Network,MATCH($H25,RIN_Asset_Cat_Network,0),MATCH($BW$4,Direct_Cost_Type,0))*$Q25*INDEX(Act_Type_Augex_Splits,MATCH($I25,Act_Type_Augex,0),MATCH(BT$4,Mat_Type,0))*INDEX(Escalators!$I$44:$U$49,MATCH(BT$4,Escalators!$C$44:$C$49,0),MATCH(BT$5,Escalators!$I$43:$U$43,0))</f>
        <v>10.036620670439143</v>
      </c>
      <c r="BU25" s="47">
        <f>INDEX(Direct_Cost_Splits_Network,MATCH($H25,RIN_Asset_Cat_Network,0),MATCH($BW$4,Direct_Cost_Type,0))*$Q25*INDEX(Act_Type_Augex_Splits,MATCH($I25,Act_Type_Augex,0),MATCH(BU$4,Mat_Type,0))*INDEX(Escalators!$I$44:$U$49,MATCH(BU$4,Escalators!$C$44:$C$49,0),MATCH(BU$5,Escalators!$I$43:$U$43,0))</f>
        <v>0</v>
      </c>
      <c r="BV25" s="47">
        <f>INDEX(Direct_Cost_Splits_Network,MATCH($H25,RIN_Asset_Cat_Network,0),MATCH($BW$4,Direct_Cost_Type,0))*$Q25*INDEX(Act_Type_Augex_Splits,MATCH($I25,Act_Type_Augex,0),MATCH(BV$4,Mat_Type,0))*INDEX(Escalators!$I$44:$U$49,MATCH(BV$4,Escalators!$C$44:$C$49,0),MATCH(BV$5,Escalators!$I$43:$U$43,0))</f>
        <v>15.440954877598683</v>
      </c>
      <c r="BW25" s="47">
        <f t="shared" si="13"/>
        <v>77.20477438799341</v>
      </c>
      <c r="BY25" s="47">
        <f>INDEX(Direct_Cost_Splits_Network,MATCH($H25,RIN_Asset_Cat_Network,0),MATCH($BY$4,Direct_Cost_Type,0))*J25*HLOOKUP(BY$5,Escalators!$I$25:$U$30,6,FALSE)</f>
        <v>0</v>
      </c>
      <c r="BZ25" s="47">
        <f>INDEX(Direct_Cost_Splits_Network,MATCH($H25,RIN_Asset_Cat_Network,0),MATCH($BY$4,Direct_Cost_Type,0))*K25*HLOOKUP(BZ$5,Escalators!$I$25:$U$30,6,FALSE)</f>
        <v>0</v>
      </c>
      <c r="CA25" s="47">
        <f>INDEX(Direct_Cost_Splits_Network,MATCH($H25,RIN_Asset_Cat_Network,0),MATCH($BY$4,Direct_Cost_Type,0))*L25*HLOOKUP(CA$5,Escalators!$I$25:$U$30,6,FALSE)</f>
        <v>0</v>
      </c>
      <c r="CB25" s="47">
        <f>INDEX(Direct_Cost_Splits_Network,MATCH($H25,RIN_Asset_Cat_Network,0),MATCH($BY$4,Direct_Cost_Type,0))*M25*HLOOKUP(CB$5,Escalators!$I$25:$U$30,6,FALSE)</f>
        <v>108.64862042871069</v>
      </c>
      <c r="CC25" s="47">
        <f>INDEX(Direct_Cost_Splits_Network,MATCH($H25,RIN_Asset_Cat_Network,0),MATCH($BY$4,Direct_Cost_Type,0))*N25*HLOOKUP(CC$5,Escalators!$I$25:$U$30,6,FALSE)</f>
        <v>109.76337290275293</v>
      </c>
      <c r="CD25" s="47">
        <f>INDEX(Direct_Cost_Splits_Network,MATCH($H25,RIN_Asset_Cat_Network,0),MATCH($BY$4,Direct_Cost_Type,0))*O25*HLOOKUP(CD$5,Escalators!$I$25:$U$30,6,FALSE)</f>
        <v>110.94485321987929</v>
      </c>
      <c r="CE25" s="47">
        <f>INDEX(Direct_Cost_Splits_Network,MATCH($H25,RIN_Asset_Cat_Network,0),MATCH($BY$4,Direct_Cost_Type,0))*P25*HLOOKUP(CE$5,Escalators!$I$25:$U$30,6,FALSE)</f>
        <v>111.99386556926461</v>
      </c>
      <c r="CF25" s="47">
        <f>INDEX(Direct_Cost_Splits_Network,MATCH($H25,RIN_Asset_Cat_Network,0),MATCH($BY$4,Direct_Cost_Type,0))*Q25*HLOOKUP(CF$5,Escalators!$I$25:$U$30,6,FALSE)</f>
        <v>112.97941158627414</v>
      </c>
      <c r="CH25" s="47">
        <f t="shared" si="26"/>
        <v>0</v>
      </c>
      <c r="CI25" s="47">
        <f t="shared" si="27"/>
        <v>0</v>
      </c>
      <c r="CJ25" s="47">
        <f t="shared" si="28"/>
        <v>0</v>
      </c>
      <c r="CK25" s="47">
        <f t="shared" si="29"/>
        <v>28.895699931395033</v>
      </c>
      <c r="CL25" s="47">
        <f t="shared" si="30"/>
        <v>28.895699931395033</v>
      </c>
      <c r="CM25" s="47">
        <f t="shared" si="31"/>
        <v>28.895699931395033</v>
      </c>
      <c r="CN25" s="47">
        <f t="shared" si="32"/>
        <v>28.895699931395033</v>
      </c>
      <c r="CO25" s="47">
        <f t="shared" si="33"/>
        <v>28.895699931395033</v>
      </c>
      <c r="CQ25" s="373">
        <f t="shared" si="15"/>
        <v>0</v>
      </c>
      <c r="CR25" s="47">
        <f t="shared" si="16"/>
        <v>0</v>
      </c>
      <c r="CS25" s="47">
        <f t="shared" si="17"/>
        <v>0</v>
      </c>
      <c r="CT25" s="47">
        <f t="shared" si="18"/>
        <v>254.75088910457902</v>
      </c>
      <c r="CU25" s="47">
        <f t="shared" si="19"/>
        <v>256.27606647908533</v>
      </c>
      <c r="CV25" s="47">
        <f t="shared" si="20"/>
        <v>257.89253927467513</v>
      </c>
      <c r="CW25" s="47">
        <f t="shared" si="21"/>
        <v>259.32777260056196</v>
      </c>
      <c r="CX25" s="47">
        <f t="shared" si="22"/>
        <v>260.67617282543631</v>
      </c>
      <c r="CZ25" s="39"/>
    </row>
    <row r="26" spans="2:104" x14ac:dyDescent="0.3">
      <c r="B26" s="7" t="s">
        <v>429</v>
      </c>
      <c r="C26" s="7" t="s">
        <v>465</v>
      </c>
      <c r="D26" s="7" t="s">
        <v>108</v>
      </c>
      <c r="E26" s="7" t="s">
        <v>45</v>
      </c>
      <c r="F26" s="7" t="s">
        <v>51</v>
      </c>
      <c r="G26" s="7" t="s">
        <v>10</v>
      </c>
      <c r="H26" s="7" t="s">
        <v>165</v>
      </c>
      <c r="I26" s="7" t="s">
        <v>250</v>
      </c>
      <c r="J26" s="45"/>
      <c r="K26" s="45"/>
      <c r="L26" s="45"/>
      <c r="M26" s="45">
        <v>2090</v>
      </c>
      <c r="N26" s="45">
        <v>2090</v>
      </c>
      <c r="O26" s="45">
        <v>2090</v>
      </c>
      <c r="P26" s="45">
        <v>2090</v>
      </c>
      <c r="Q26" s="45">
        <v>2090</v>
      </c>
      <c r="S26" s="47">
        <f>INDEX(Direct_Cost_Splits_Network,MATCH($H26,RIN_Asset_Cat_Network,0),MATCH($S$4,Direct_Cost_Type,0))*J26*HLOOKUP(S$5,Escalators!$I$25:$U$30,3,FALSE)</f>
        <v>0</v>
      </c>
      <c r="T26" s="47">
        <f>INDEX(Direct_Cost_Splits_Network,MATCH($H26,RIN_Asset_Cat_Network,0),MATCH($S$4,Direct_Cost_Type,0))*K26*HLOOKUP(T$5,Escalators!$I$25:$U$30,3,FALSE)</f>
        <v>0</v>
      </c>
      <c r="U26" s="47">
        <f>INDEX(Direct_Cost_Splits_Network,MATCH($H26,RIN_Asset_Cat_Network,0),MATCH($S$4,Direct_Cost_Type,0))*L26*HLOOKUP(U$5,Escalators!$I$25:$U$30,3,FALSE)</f>
        <v>0</v>
      </c>
      <c r="V26" s="47">
        <f>INDEX(Direct_Cost_Splits_Network,MATCH($H26,RIN_Asset_Cat_Network,0),MATCH($S$4,Direct_Cost_Type,0))*M26*HLOOKUP(V$5,Escalators!$I$25:$U$30,3,FALSE)</f>
        <v>334.41500082017171</v>
      </c>
      <c r="W26" s="47">
        <f>INDEX(Direct_Cost_Splits_Network,MATCH($H26,RIN_Asset_Cat_Network,0),MATCH($S$4,Direct_Cost_Type,0))*N26*HLOOKUP(W$5,Escalators!$I$25:$U$30,3,FALSE)</f>
        <v>337.84615298805159</v>
      </c>
      <c r="X26" s="47">
        <f>INDEX(Direct_Cost_Splits_Network,MATCH($H26,RIN_Asset_Cat_Network,0),MATCH($S$4,Direct_Cost_Type,0))*O26*HLOOKUP(X$5,Escalators!$I$25:$U$30,3,FALSE)</f>
        <v>341.48269010800584</v>
      </c>
      <c r="Y26" s="47">
        <f>INDEX(Direct_Cost_Splits_Network,MATCH($H26,RIN_Asset_Cat_Network,0),MATCH($S$4,Direct_Cost_Type,0))*P26*HLOOKUP(Y$5,Escalators!$I$25:$U$30,3,FALSE)</f>
        <v>344.71149747155852</v>
      </c>
      <c r="Z26" s="47">
        <f>INDEX(Direct_Cost_Splits_Network,MATCH($H26,RIN_Asset_Cat_Network,0),MATCH($S$4,Direct_Cost_Type,0))*Q26*HLOOKUP(Z$5,Escalators!$I$25:$U$30,3,FALSE)</f>
        <v>347.74495864930822</v>
      </c>
      <c r="AB26" s="6">
        <f>INDEX(Direct_Cost_Splits_Network,MATCH($H26,RIN_Asset_Cat_Network,0),MATCH($AG$4,Direct_Cost_Type,0))*$J26*INDEX(Act_Type_Augex_Splits,MATCH($I26,Act_Type_Augex,0),MATCH(AB$4,Mat_Type,0))*INDEX(Escalators!$I$44:$U$49,MATCH(AB$4,Escalators!$C$44:$C$49,0),MATCH(AB$5,Escalators!$I$43:$U$43,0))</f>
        <v>0</v>
      </c>
      <c r="AC26" s="6">
        <f>INDEX(Direct_Cost_Splits_Network,MATCH($H26,RIN_Asset_Cat_Network,0),MATCH($AG$4,Direct_Cost_Type,0))*$J26*INDEX(Act_Type_Augex_Splits,MATCH($I26,Act_Type_Augex,0),MATCH(AC$4,Mat_Type,0))*INDEX(Escalators!$I$44:$U$49,MATCH(AC$4,Escalators!$C$44:$C$49,0),MATCH(AC$5,Escalators!$I$43:$U$43,0))</f>
        <v>0</v>
      </c>
      <c r="AD26" s="6">
        <f>INDEX(Direct_Cost_Splits_Network,MATCH($H26,RIN_Asset_Cat_Network,0),MATCH($AG$4,Direct_Cost_Type,0))*$J26*INDEX(Act_Type_Augex_Splits,MATCH($I26,Act_Type_Augex,0),MATCH(AD$4,Mat_Type,0))*INDEX(Escalators!$I$44:$U$49,MATCH(AD$4,Escalators!$C$44:$C$49,0),MATCH(AD$5,Escalators!$I$43:$U$43,0))</f>
        <v>0</v>
      </c>
      <c r="AE26" s="6">
        <f>INDEX(Direct_Cost_Splits_Network,MATCH($H26,RIN_Asset_Cat_Network,0),MATCH($AG$4,Direct_Cost_Type,0))*$J26*INDEX(Act_Type_Augex_Splits,MATCH($I26,Act_Type_Augex,0),MATCH(AE$4,Mat_Type,0))*INDEX(Escalators!$I$44:$U$49,MATCH(AE$4,Escalators!$C$44:$C$49,0),MATCH(AE$5,Escalators!$I$43:$U$43,0))</f>
        <v>0</v>
      </c>
      <c r="AF26" s="6">
        <f>INDEX(Direct_Cost_Splits_Network,MATCH($H26,RIN_Asset_Cat_Network,0),MATCH($AG$4,Direct_Cost_Type,0))*$J26*INDEX(Act_Type_Augex_Splits,MATCH($I26,Act_Type_Augex,0),MATCH(AF$4,Mat_Type,0))*INDEX(Escalators!$I$44:$U$49,MATCH(AF$4,Escalators!$C$44:$C$49,0),MATCH(AF$5,Escalators!$I$43:$U$43,0))</f>
        <v>0</v>
      </c>
      <c r="AG26" s="47">
        <f t="shared" si="23"/>
        <v>0</v>
      </c>
      <c r="AH26" s="47">
        <f>INDEX(Direct_Cost_Splits_Network,MATCH($H26,RIN_Asset_Cat_Network,0),MATCH($AY$4,Direct_Cost_Type,0))*$K26*INDEX(Act_Type_Augex_Splits,MATCH($I26,Act_Type_Augex,0),MATCH(AH$4,Mat_Type,0))*INDEX(Escalators!$I$44:$U$49,MATCH(AH$4,Escalators!$C$44:$C$49,0),MATCH(AH$5,Escalators!$I$43:$U$43,0))</f>
        <v>0</v>
      </c>
      <c r="AI26" s="47">
        <f>INDEX(Direct_Cost_Splits_Network,MATCH($H26,RIN_Asset_Cat_Network,0),MATCH($AY$4,Direct_Cost_Type,0))*$K26*INDEX(Act_Type_Augex_Splits,MATCH($I26,Act_Type_Augex,0),MATCH(AI$4,Mat_Type,0))*INDEX(Escalators!$I$44:$U$49,MATCH(AI$4,Escalators!$C$44:$C$49,0),MATCH(AI$5,Escalators!$I$43:$U$43,0))</f>
        <v>0</v>
      </c>
      <c r="AJ26" s="47">
        <f>INDEX(Direct_Cost_Splits_Network,MATCH($H26,RIN_Asset_Cat_Network,0),MATCH($AY$4,Direct_Cost_Type,0))*$K26*INDEX(Act_Type_Augex_Splits,MATCH($I26,Act_Type_Augex,0),MATCH(AJ$4,Mat_Type,0))*INDEX(Escalators!$I$44:$U$49,MATCH(AJ$4,Escalators!$C$44:$C$49,0),MATCH(AJ$5,Escalators!$I$43:$U$43,0))</f>
        <v>0</v>
      </c>
      <c r="AK26" s="47">
        <f>INDEX(Direct_Cost_Splits_Network,MATCH($H26,RIN_Asset_Cat_Network,0),MATCH($AY$4,Direct_Cost_Type,0))*$K26*INDEX(Act_Type_Augex_Splits,MATCH($I26,Act_Type_Augex,0),MATCH(AK$4,Mat_Type,0))*INDEX(Escalators!$I$44:$U$49,MATCH(AK$4,Escalators!$C$44:$C$49,0),MATCH(AK$5,Escalators!$I$43:$U$43,0))</f>
        <v>0</v>
      </c>
      <c r="AL26" s="47">
        <f>INDEX(Direct_Cost_Splits_Network,MATCH($H26,RIN_Asset_Cat_Network,0),MATCH($AY$4,Direct_Cost_Type,0))*$K26*INDEX(Act_Type_Augex_Splits,MATCH($I26,Act_Type_Augex,0),MATCH(AL$4,Mat_Type,0))*INDEX(Escalators!$I$44:$U$49,MATCH(AL$4,Escalators!$C$44:$C$49,0),MATCH(AL$5,Escalators!$I$43:$U$43,0))</f>
        <v>0</v>
      </c>
      <c r="AM26" s="47">
        <f t="shared" si="24"/>
        <v>0</v>
      </c>
      <c r="AN26" s="47">
        <f>INDEX(Direct_Cost_Splits_Network,MATCH($H26,RIN_Asset_Cat_Network,0),MATCH($AY$4,Direct_Cost_Type,0))*$L26*INDEX(Act_Type_Augex_Splits,MATCH($I26,Act_Type_Augex,0),MATCH(AN$4,Mat_Type,0))*INDEX(Escalators!$I$44:$U$49,MATCH(AN$4,Escalators!$C$44:$C$49,0),MATCH(AN$5,Escalators!$I$43:$U$43,0))</f>
        <v>0</v>
      </c>
      <c r="AO26" s="47">
        <f>INDEX(Direct_Cost_Splits_Network,MATCH($H26,RIN_Asset_Cat_Network,0),MATCH($AY$4,Direct_Cost_Type,0))*$L26*INDEX(Act_Type_Augex_Splits,MATCH($I26,Act_Type_Augex,0),MATCH(AO$4,Mat_Type,0))*INDEX(Escalators!$I$44:$U$49,MATCH(AO$4,Escalators!$C$44:$C$49,0),MATCH(AO$5,Escalators!$I$43:$U$43,0))</f>
        <v>0</v>
      </c>
      <c r="AP26" s="47">
        <f>INDEX(Direct_Cost_Splits_Network,MATCH($H26,RIN_Asset_Cat_Network,0),MATCH($AY$4,Direct_Cost_Type,0))*$L26*INDEX(Act_Type_Augex_Splits,MATCH($I26,Act_Type_Augex,0),MATCH(AP$4,Mat_Type,0))*INDEX(Escalators!$I$44:$U$49,MATCH(AP$4,Escalators!$C$44:$C$49,0),MATCH(AP$5,Escalators!$I$43:$U$43,0))</f>
        <v>0</v>
      </c>
      <c r="AQ26" s="47">
        <f>INDEX(Direct_Cost_Splits_Network,MATCH($H26,RIN_Asset_Cat_Network,0),MATCH($AY$4,Direct_Cost_Type,0))*$L26*INDEX(Act_Type_Augex_Splits,MATCH($I26,Act_Type_Augex,0),MATCH(AQ$4,Mat_Type,0))*INDEX(Escalators!$I$44:$U$49,MATCH(AQ$4,Escalators!$C$44:$C$49,0),MATCH(AQ$5,Escalators!$I$43:$U$43,0))</f>
        <v>0</v>
      </c>
      <c r="AR26" s="47">
        <f>INDEX(Direct_Cost_Splits_Network,MATCH($H26,RIN_Asset_Cat_Network,0),MATCH($AY$4,Direct_Cost_Type,0))*$L26*INDEX(Act_Type_Augex_Splits,MATCH($I26,Act_Type_Augex,0),MATCH(AR$4,Mat_Type,0))*INDEX(Escalators!$I$44:$U$49,MATCH(AR$4,Escalators!$C$44:$C$49,0),MATCH(AR$5,Escalators!$I$43:$U$43,0))</f>
        <v>0</v>
      </c>
      <c r="AS26" s="47">
        <f t="shared" si="8"/>
        <v>0</v>
      </c>
      <c r="AT26" s="47">
        <f>INDEX(Direct_Cost_Splits_Network,MATCH($H26,RIN_Asset_Cat_Network,0),MATCH($AY$4,Direct_Cost_Type,0))*$M26*INDEX(Act_Type_Augex_Splits,MATCH($I26,Act_Type_Augex,0),MATCH(AT$4,Mat_Type,0))*INDEX(Escalators!$I$44:$U$49,MATCH(AT$4,Escalators!$C$44:$C$49,0),MATCH(AT$5,Escalators!$I$43:$U$43,0))</f>
        <v>432.43938230202866</v>
      </c>
      <c r="AU26" s="47">
        <f>INDEX(Direct_Cost_Splits_Network,MATCH($H26,RIN_Asset_Cat_Network,0),MATCH($AY$4,Direct_Cost_Type,0))*$M26*INDEX(Act_Type_Augex_Splits,MATCH($I26,Act_Type_Augex,0),MATCH(AU$4,Mat_Type,0))*INDEX(Escalators!$I$44:$U$49,MATCH(AU$4,Escalators!$C$44:$C$49,0),MATCH(AU$5,Escalators!$I$43:$U$43,0))</f>
        <v>0</v>
      </c>
      <c r="AV26" s="47">
        <f>INDEX(Direct_Cost_Splits_Network,MATCH($H26,RIN_Asset_Cat_Network,0),MATCH($AY$4,Direct_Cost_Type,0))*$M26*INDEX(Act_Type_Augex_Splits,MATCH($I26,Act_Type_Augex,0),MATCH(AV$4,Mat_Type,0))*INDEX(Escalators!$I$44:$U$49,MATCH(AV$4,Escalators!$C$44:$C$49,0),MATCH(AV$5,Escalators!$I$43:$U$43,0))</f>
        <v>83.906148804871222</v>
      </c>
      <c r="AW26" s="47">
        <f>INDEX(Direct_Cost_Splits_Network,MATCH($H26,RIN_Asset_Cat_Network,0),MATCH($AY$4,Direct_Cost_Type,0))*$M26*INDEX(Act_Type_Augex_Splits,MATCH($I26,Act_Type_Augex,0),MATCH(AW$4,Mat_Type,0))*INDEX(Escalators!$I$44:$U$49,MATCH(AW$4,Escalators!$C$44:$C$49,0),MATCH(AW$5,Escalators!$I$43:$U$43,0))</f>
        <v>0</v>
      </c>
      <c r="AX26" s="47">
        <f>INDEX(Direct_Cost_Splits_Network,MATCH($H26,RIN_Asset_Cat_Network,0),MATCH($AY$4,Direct_Cost_Type,0))*$M26*INDEX(Act_Type_Augex_Splits,MATCH($I26,Act_Type_Augex,0),MATCH(AX$4,Mat_Type,0))*INDEX(Escalators!$I$44:$U$49,MATCH(AX$4,Escalators!$C$44:$C$49,0),MATCH(AX$5,Escalators!$I$43:$U$43,0))</f>
        <v>129.08638277672497</v>
      </c>
      <c r="AY26" s="47">
        <f t="shared" si="9"/>
        <v>645.43191388362493</v>
      </c>
      <c r="AZ26" s="47">
        <f>INDEX(Direct_Cost_Splits_Network,MATCH($H26,RIN_Asset_Cat_Network,0),MATCH($BE$4,Direct_Cost_Type,0))*$N26*INDEX(Act_Type_Augex_Splits,MATCH($I26,Act_Type_Augex,0),MATCH(AZ$4,Mat_Type,0))*INDEX(Escalators!$I$44:$U$49,MATCH(AZ$4,Escalators!$C$44:$C$49,0),MATCH(AZ$5,Escalators!$I$43:$U$43,0))</f>
        <v>432.43938230202866</v>
      </c>
      <c r="BA26" s="47">
        <f>INDEX(Direct_Cost_Splits_Network,MATCH($H26,RIN_Asset_Cat_Network,0),MATCH($BE$4,Direct_Cost_Type,0))*$N26*INDEX(Act_Type_Augex_Splits,MATCH($I26,Act_Type_Augex,0),MATCH(BA$4,Mat_Type,0))*INDEX(Escalators!$I$44:$U$49,MATCH(BA$4,Escalators!$C$44:$C$49,0),MATCH(BA$5,Escalators!$I$43:$U$43,0))</f>
        <v>0</v>
      </c>
      <c r="BB26" s="47">
        <f>INDEX(Direct_Cost_Splits_Network,MATCH($H26,RIN_Asset_Cat_Network,0),MATCH($BE$4,Direct_Cost_Type,0))*$N26*INDEX(Act_Type_Augex_Splits,MATCH($I26,Act_Type_Augex,0),MATCH(BB$4,Mat_Type,0))*INDEX(Escalators!$I$44:$U$49,MATCH(BB$4,Escalators!$C$44:$C$49,0),MATCH(BB$5,Escalators!$I$43:$U$43,0))</f>
        <v>83.906148804871222</v>
      </c>
      <c r="BC26" s="47">
        <f>INDEX(Direct_Cost_Splits_Network,MATCH($H26,RIN_Asset_Cat_Network,0),MATCH($BE$4,Direct_Cost_Type,0))*$N26*INDEX(Act_Type_Augex_Splits,MATCH($I26,Act_Type_Augex,0),MATCH(BC$4,Mat_Type,0))*INDEX(Escalators!$I$44:$U$49,MATCH(BC$4,Escalators!$C$44:$C$49,0),MATCH(BC$5,Escalators!$I$43:$U$43,0))</f>
        <v>0</v>
      </c>
      <c r="BD26" s="47">
        <f>INDEX(Direct_Cost_Splits_Network,MATCH($H26,RIN_Asset_Cat_Network,0),MATCH($BE$4,Direct_Cost_Type,0))*$N26*INDEX(Act_Type_Augex_Splits,MATCH($I26,Act_Type_Augex,0),MATCH(BD$4,Mat_Type,0))*INDEX(Escalators!$I$44:$U$49,MATCH(BD$4,Escalators!$C$44:$C$49,0),MATCH(BD$5,Escalators!$I$43:$U$43,0))</f>
        <v>129.08638277672497</v>
      </c>
      <c r="BE26" s="47">
        <f t="shared" si="10"/>
        <v>645.43191388362493</v>
      </c>
      <c r="BF26" s="47">
        <f>INDEX(Direct_Cost_Splits_Network,MATCH($H26,RIN_Asset_Cat_Network,0),MATCH($BK$4,Direct_Cost_Type,0))*$O26*INDEX(Act_Type_Augex_Splits,MATCH($I26,Act_Type_Augex,0),MATCH(BF$4,Mat_Type,0))*INDEX(Escalators!$I$44:$U$49,MATCH(BF$4,Escalators!$C$44:$C$49,0),MATCH(BF$5,Escalators!$I$43:$U$43,0))</f>
        <v>432.43938230202866</v>
      </c>
      <c r="BG26" s="47">
        <f>INDEX(Direct_Cost_Splits_Network,MATCH($H26,RIN_Asset_Cat_Network,0),MATCH($BK$4,Direct_Cost_Type,0))*$O26*INDEX(Act_Type_Augex_Splits,MATCH($I26,Act_Type_Augex,0),MATCH(BG$4,Mat_Type,0))*INDEX(Escalators!$I$44:$U$49,MATCH(BG$4,Escalators!$C$44:$C$49,0),MATCH(BG$5,Escalators!$I$43:$U$43,0))</f>
        <v>0</v>
      </c>
      <c r="BH26" s="47">
        <f>INDEX(Direct_Cost_Splits_Network,MATCH($H26,RIN_Asset_Cat_Network,0),MATCH($BK$4,Direct_Cost_Type,0))*$O26*INDEX(Act_Type_Augex_Splits,MATCH($I26,Act_Type_Augex,0),MATCH(BH$4,Mat_Type,0))*INDEX(Escalators!$I$44:$U$49,MATCH(BH$4,Escalators!$C$44:$C$49,0),MATCH(BH$5,Escalators!$I$43:$U$43,0))</f>
        <v>83.906148804871222</v>
      </c>
      <c r="BI26" s="47">
        <f>INDEX(Direct_Cost_Splits_Network,MATCH($H26,RIN_Asset_Cat_Network,0),MATCH($BK$4,Direct_Cost_Type,0))*$O26*INDEX(Act_Type_Augex_Splits,MATCH($I26,Act_Type_Augex,0),MATCH(BI$4,Mat_Type,0))*INDEX(Escalators!$I$44:$U$49,MATCH(BI$4,Escalators!$C$44:$C$49,0),MATCH(BI$5,Escalators!$I$43:$U$43,0))</f>
        <v>0</v>
      </c>
      <c r="BJ26" s="47">
        <f>INDEX(Direct_Cost_Splits_Network,MATCH($H26,RIN_Asset_Cat_Network,0),MATCH($BK$4,Direct_Cost_Type,0))*$O26*INDEX(Act_Type_Augex_Splits,MATCH($I26,Act_Type_Augex,0),MATCH(BJ$4,Mat_Type,0))*INDEX(Escalators!$I$44:$U$49,MATCH(BJ$4,Escalators!$C$44:$C$49,0),MATCH(BJ$5,Escalators!$I$43:$U$43,0))</f>
        <v>129.08638277672497</v>
      </c>
      <c r="BK26" s="47">
        <f t="shared" si="11"/>
        <v>645.43191388362493</v>
      </c>
      <c r="BL26" s="47">
        <f>INDEX(Direct_Cost_Splits_Network,MATCH($H26,RIN_Asset_Cat_Network,0),MATCH($BQ$4,Direct_Cost_Type,0))*$P26*INDEX(Act_Type_Augex_Splits,MATCH($I26,Act_Type_Augex,0),MATCH(BL$4,Mat_Type,0))*INDEX(Escalators!$I$44:$U$49,MATCH(BL$4,Escalators!$C$44:$C$49,0),MATCH(BL$5,Escalators!$I$43:$U$43,0))</f>
        <v>432.43938230202866</v>
      </c>
      <c r="BM26" s="47">
        <f>INDEX(Direct_Cost_Splits_Network,MATCH($H26,RIN_Asset_Cat_Network,0),MATCH($BQ$4,Direct_Cost_Type,0))*$P26*INDEX(Act_Type_Augex_Splits,MATCH($I26,Act_Type_Augex,0),MATCH(BM$4,Mat_Type,0))*INDEX(Escalators!$I$44:$U$49,MATCH(BM$4,Escalators!$C$44:$C$49,0),MATCH(BM$5,Escalators!$I$43:$U$43,0))</f>
        <v>0</v>
      </c>
      <c r="BN26" s="47">
        <f>INDEX(Direct_Cost_Splits_Network,MATCH($H26,RIN_Asset_Cat_Network,0),MATCH($BQ$4,Direct_Cost_Type,0))*$P26*INDEX(Act_Type_Augex_Splits,MATCH($I26,Act_Type_Augex,0),MATCH(BN$4,Mat_Type,0))*INDEX(Escalators!$I$44:$U$49,MATCH(BN$4,Escalators!$C$44:$C$49,0),MATCH(BN$5,Escalators!$I$43:$U$43,0))</f>
        <v>83.906148804871222</v>
      </c>
      <c r="BO26" s="47">
        <f>INDEX(Direct_Cost_Splits_Network,MATCH($H26,RIN_Asset_Cat_Network,0),MATCH($BQ$4,Direct_Cost_Type,0))*$P26*INDEX(Act_Type_Augex_Splits,MATCH($I26,Act_Type_Augex,0),MATCH(BO$4,Mat_Type,0))*INDEX(Escalators!$I$44:$U$49,MATCH(BO$4,Escalators!$C$44:$C$49,0),MATCH(BO$5,Escalators!$I$43:$U$43,0))</f>
        <v>0</v>
      </c>
      <c r="BP26" s="47">
        <f>INDEX(Direct_Cost_Splits_Network,MATCH($H26,RIN_Asset_Cat_Network,0),MATCH($BQ$4,Direct_Cost_Type,0))*$P26*INDEX(Act_Type_Augex_Splits,MATCH($I26,Act_Type_Augex,0),MATCH(BP$4,Mat_Type,0))*INDEX(Escalators!$I$44:$U$49,MATCH(BP$4,Escalators!$C$44:$C$49,0),MATCH(BP$5,Escalators!$I$43:$U$43,0))</f>
        <v>129.08638277672497</v>
      </c>
      <c r="BQ26" s="47">
        <f t="shared" si="12"/>
        <v>645.43191388362493</v>
      </c>
      <c r="BR26" s="47">
        <f>INDEX(Direct_Cost_Splits_Network,MATCH($H26,RIN_Asset_Cat_Network,0),MATCH($BW$4,Direct_Cost_Type,0))*$Q26*INDEX(Act_Type_Augex_Splits,MATCH($I26,Act_Type_Augex,0),MATCH(BR$4,Mat_Type,0))*INDEX(Escalators!$I$44:$U$49,MATCH(BR$4,Escalators!$C$44:$C$49,0),MATCH(BR$5,Escalators!$I$43:$U$43,0))</f>
        <v>432.43938230202866</v>
      </c>
      <c r="BS26" s="47">
        <f>INDEX(Direct_Cost_Splits_Network,MATCH($H26,RIN_Asset_Cat_Network,0),MATCH($BW$4,Direct_Cost_Type,0))*$Q26*INDEX(Act_Type_Augex_Splits,MATCH($I26,Act_Type_Augex,0),MATCH(BS$4,Mat_Type,0))*INDEX(Escalators!$I$44:$U$49,MATCH(BS$4,Escalators!$C$44:$C$49,0),MATCH(BS$5,Escalators!$I$43:$U$43,0))</f>
        <v>0</v>
      </c>
      <c r="BT26" s="47">
        <f>INDEX(Direct_Cost_Splits_Network,MATCH($H26,RIN_Asset_Cat_Network,0),MATCH($BW$4,Direct_Cost_Type,0))*$Q26*INDEX(Act_Type_Augex_Splits,MATCH($I26,Act_Type_Augex,0),MATCH(BT$4,Mat_Type,0))*INDEX(Escalators!$I$44:$U$49,MATCH(BT$4,Escalators!$C$44:$C$49,0),MATCH(BT$5,Escalators!$I$43:$U$43,0))</f>
        <v>83.906148804871222</v>
      </c>
      <c r="BU26" s="47">
        <f>INDEX(Direct_Cost_Splits_Network,MATCH($H26,RIN_Asset_Cat_Network,0),MATCH($BW$4,Direct_Cost_Type,0))*$Q26*INDEX(Act_Type_Augex_Splits,MATCH($I26,Act_Type_Augex,0),MATCH(BU$4,Mat_Type,0))*INDEX(Escalators!$I$44:$U$49,MATCH(BU$4,Escalators!$C$44:$C$49,0),MATCH(BU$5,Escalators!$I$43:$U$43,0))</f>
        <v>0</v>
      </c>
      <c r="BV26" s="47">
        <f>INDEX(Direct_Cost_Splits_Network,MATCH($H26,RIN_Asset_Cat_Network,0),MATCH($BW$4,Direct_Cost_Type,0))*$Q26*INDEX(Act_Type_Augex_Splits,MATCH($I26,Act_Type_Augex,0),MATCH(BV$4,Mat_Type,0))*INDEX(Escalators!$I$44:$U$49,MATCH(BV$4,Escalators!$C$44:$C$49,0),MATCH(BV$5,Escalators!$I$43:$U$43,0))</f>
        <v>129.08638277672497</v>
      </c>
      <c r="BW26" s="47">
        <f t="shared" si="13"/>
        <v>645.43191388362493</v>
      </c>
      <c r="BY26" s="47">
        <f>INDEX(Direct_Cost_Splits_Network,MATCH($H26,RIN_Asset_Cat_Network,0),MATCH($BY$4,Direct_Cost_Type,0))*J26*HLOOKUP(BY$5,Escalators!$I$25:$U$30,6,FALSE)</f>
        <v>0</v>
      </c>
      <c r="BZ26" s="47">
        <f>INDEX(Direct_Cost_Splits_Network,MATCH($H26,RIN_Asset_Cat_Network,0),MATCH($BY$4,Direct_Cost_Type,0))*K26*HLOOKUP(BZ$5,Escalators!$I$25:$U$30,6,FALSE)</f>
        <v>0</v>
      </c>
      <c r="CA26" s="47">
        <f>INDEX(Direct_Cost_Splits_Network,MATCH($H26,RIN_Asset_Cat_Network,0),MATCH($BY$4,Direct_Cost_Type,0))*L26*HLOOKUP(CA$5,Escalators!$I$25:$U$30,6,FALSE)</f>
        <v>0</v>
      </c>
      <c r="CB26" s="47">
        <f>INDEX(Direct_Cost_Splits_Network,MATCH($H26,RIN_Asset_Cat_Network,0),MATCH($BY$4,Direct_Cost_Type,0))*M26*HLOOKUP(CB$5,Escalators!$I$25:$U$30,6,FALSE)</f>
        <v>908.30246678402125</v>
      </c>
      <c r="CC26" s="47">
        <f>INDEX(Direct_Cost_Splits_Network,MATCH($H26,RIN_Asset_Cat_Network,0),MATCH($BY$4,Direct_Cost_Type,0))*N26*HLOOKUP(CC$5,Escalators!$I$25:$U$30,6,FALSE)</f>
        <v>917.62179746701452</v>
      </c>
      <c r="CD26" s="47">
        <f>INDEX(Direct_Cost_Splits_Network,MATCH($H26,RIN_Asset_Cat_Network,0),MATCH($BY$4,Direct_Cost_Type,0))*O26*HLOOKUP(CD$5,Escalators!$I$25:$U$30,6,FALSE)</f>
        <v>927.49897291819093</v>
      </c>
      <c r="CE26" s="47">
        <f>INDEX(Direct_Cost_Splits_Network,MATCH($H26,RIN_Asset_Cat_Network,0),MATCH($BY$4,Direct_Cost_Type,0))*P26*HLOOKUP(CE$5,Escalators!$I$25:$U$30,6,FALSE)</f>
        <v>936.26871615905213</v>
      </c>
      <c r="CF26" s="47">
        <f>INDEX(Direct_Cost_Splits_Network,MATCH($H26,RIN_Asset_Cat_Network,0),MATCH($BY$4,Direct_Cost_Type,0))*Q26*HLOOKUP(CF$5,Escalators!$I$25:$U$30,6,FALSE)</f>
        <v>944.50788086125181</v>
      </c>
      <c r="CH26" s="47">
        <f t="shared" si="26"/>
        <v>0</v>
      </c>
      <c r="CI26" s="47">
        <f t="shared" si="27"/>
        <v>0</v>
      </c>
      <c r="CJ26" s="47">
        <f t="shared" si="28"/>
        <v>0</v>
      </c>
      <c r="CK26" s="47">
        <f t="shared" si="29"/>
        <v>241.56805142646249</v>
      </c>
      <c r="CL26" s="47">
        <f t="shared" si="30"/>
        <v>241.56805142646249</v>
      </c>
      <c r="CM26" s="47">
        <f t="shared" si="31"/>
        <v>241.56805142646249</v>
      </c>
      <c r="CN26" s="47">
        <f t="shared" si="32"/>
        <v>241.56805142646249</v>
      </c>
      <c r="CO26" s="47">
        <f t="shared" si="33"/>
        <v>241.56805142646249</v>
      </c>
      <c r="CQ26" s="373">
        <f t="shared" si="15"/>
        <v>0</v>
      </c>
      <c r="CR26" s="47">
        <f t="shared" si="16"/>
        <v>0</v>
      </c>
      <c r="CS26" s="47">
        <f t="shared" si="17"/>
        <v>0</v>
      </c>
      <c r="CT26" s="47">
        <f t="shared" si="18"/>
        <v>2129.7174329142804</v>
      </c>
      <c r="CU26" s="47">
        <f t="shared" si="19"/>
        <v>2142.4679157651535</v>
      </c>
      <c r="CV26" s="47">
        <f t="shared" si="20"/>
        <v>2155.9816283362843</v>
      </c>
      <c r="CW26" s="47">
        <f t="shared" si="21"/>
        <v>2167.9801789406984</v>
      </c>
      <c r="CX26" s="47">
        <f t="shared" si="22"/>
        <v>2179.2528048206477</v>
      </c>
      <c r="CZ26" s="39"/>
    </row>
    <row r="27" spans="2:104" x14ac:dyDescent="0.3">
      <c r="B27" s="7" t="s">
        <v>651</v>
      </c>
      <c r="C27" s="7" t="s">
        <v>555</v>
      </c>
      <c r="D27" s="7" t="s">
        <v>425</v>
      </c>
      <c r="E27" s="7" t="s">
        <v>44</v>
      </c>
      <c r="F27" s="7" t="s">
        <v>55</v>
      </c>
      <c r="G27" s="7" t="s">
        <v>10</v>
      </c>
      <c r="H27" s="7" t="s">
        <v>152</v>
      </c>
      <c r="I27" s="7" t="s">
        <v>213</v>
      </c>
      <c r="J27" s="45"/>
      <c r="K27" s="45"/>
      <c r="L27" s="45"/>
      <c r="M27" s="45">
        <v>0</v>
      </c>
      <c r="N27" s="45">
        <v>8347.9462651845151</v>
      </c>
      <c r="O27" s="45">
        <v>14772.730377755532</v>
      </c>
      <c r="P27" s="45">
        <v>21197.51449032655</v>
      </c>
      <c r="Q27" s="45">
        <v>23032.984639201855</v>
      </c>
      <c r="S27" s="47">
        <f>INDEX(Direct_Cost_Splits_Network,MATCH($H27,RIN_Asset_Cat_Network,0),MATCH($S$4,Direct_Cost_Type,0))*J27*HLOOKUP(S$5,Escalators!$I$25:$U$30,3,FALSE)</f>
        <v>0</v>
      </c>
      <c r="T27" s="47">
        <f>INDEX(Direct_Cost_Splits_Network,MATCH($H27,RIN_Asset_Cat_Network,0),MATCH($S$4,Direct_Cost_Type,0))*K27*HLOOKUP(T$5,Escalators!$I$25:$U$30,3,FALSE)</f>
        <v>0</v>
      </c>
      <c r="U27" s="47">
        <f>INDEX(Direct_Cost_Splits_Network,MATCH($H27,RIN_Asset_Cat_Network,0),MATCH($S$4,Direct_Cost_Type,0))*L27*HLOOKUP(U$5,Escalators!$I$25:$U$30,3,FALSE)</f>
        <v>0</v>
      </c>
      <c r="V27" s="47">
        <f>INDEX(Direct_Cost_Splits_Network,MATCH($H27,RIN_Asset_Cat_Network,0),MATCH($S$4,Direct_Cost_Type,0))*M27*HLOOKUP(V$5,Escalators!$I$25:$U$30,3,FALSE)</f>
        <v>0</v>
      </c>
      <c r="W27" s="47">
        <f>INDEX(Direct_Cost_Splits_Network,MATCH($H27,RIN_Asset_Cat_Network,0),MATCH($S$4,Direct_Cost_Type,0))*N27*HLOOKUP(W$5,Escalators!$I$25:$U$30,3,FALSE)</f>
        <v>1349.4361392552928</v>
      </c>
      <c r="X27" s="47">
        <f>INDEX(Direct_Cost_Splits_Network,MATCH($H27,RIN_Asset_Cat_Network,0),MATCH($S$4,Direct_Cost_Type,0))*O27*HLOOKUP(X$5,Escalators!$I$25:$U$30,3,FALSE)</f>
        <v>2413.6993826010612</v>
      </c>
      <c r="Y27" s="47">
        <f>INDEX(Direct_Cost_Splits_Network,MATCH($H27,RIN_Asset_Cat_Network,0),MATCH($S$4,Direct_Cost_Type,0))*P27*HLOOKUP(Y$5,Escalators!$I$25:$U$30,3,FALSE)</f>
        <v>3496.1851495863766</v>
      </c>
      <c r="Z27" s="47">
        <f>INDEX(Direct_Cost_Splits_Network,MATCH($H27,RIN_Asset_Cat_Network,0),MATCH($S$4,Direct_Cost_Type,0))*Q27*HLOOKUP(Z$5,Escalators!$I$25:$U$30,3,FALSE)</f>
        <v>3832.3465506839248</v>
      </c>
      <c r="AB27" s="6">
        <f>INDEX(Direct_Cost_Splits_Network,MATCH($H27,RIN_Asset_Cat_Network,0),MATCH($AG$4,Direct_Cost_Type,0))*$J27*INDEX(Act_Type_Augex_Splits,MATCH($I27,Act_Type_Augex,0),MATCH(AB$4,Mat_Type,0))*INDEX(Escalators!$I$44:$U$49,MATCH(AB$4,Escalators!$C$44:$C$49,0),MATCH(AB$5,Escalators!$I$43:$U$43,0))</f>
        <v>0</v>
      </c>
      <c r="AC27" s="6">
        <f>INDEX(Direct_Cost_Splits_Network,MATCH($H27,RIN_Asset_Cat_Network,0),MATCH($AG$4,Direct_Cost_Type,0))*$J27*INDEX(Act_Type_Augex_Splits,MATCH($I27,Act_Type_Augex,0),MATCH(AC$4,Mat_Type,0))*INDEX(Escalators!$I$44:$U$49,MATCH(AC$4,Escalators!$C$44:$C$49,0),MATCH(AC$5,Escalators!$I$43:$U$43,0))</f>
        <v>0</v>
      </c>
      <c r="AD27" s="6">
        <f>INDEX(Direct_Cost_Splits_Network,MATCH($H27,RIN_Asset_Cat_Network,0),MATCH($AG$4,Direct_Cost_Type,0))*$J27*INDEX(Act_Type_Augex_Splits,MATCH($I27,Act_Type_Augex,0),MATCH(AD$4,Mat_Type,0))*INDEX(Escalators!$I$44:$U$49,MATCH(AD$4,Escalators!$C$44:$C$49,0),MATCH(AD$5,Escalators!$I$43:$U$43,0))</f>
        <v>0</v>
      </c>
      <c r="AE27" s="6">
        <f>INDEX(Direct_Cost_Splits_Network,MATCH($H27,RIN_Asset_Cat_Network,0),MATCH($AG$4,Direct_Cost_Type,0))*$J27*INDEX(Act_Type_Augex_Splits,MATCH($I27,Act_Type_Augex,0),MATCH(AE$4,Mat_Type,0))*INDEX(Escalators!$I$44:$U$49,MATCH(AE$4,Escalators!$C$44:$C$49,0),MATCH(AE$5,Escalators!$I$43:$U$43,0))</f>
        <v>0</v>
      </c>
      <c r="AF27" s="6">
        <f>INDEX(Direct_Cost_Splits_Network,MATCH($H27,RIN_Asset_Cat_Network,0),MATCH($AG$4,Direct_Cost_Type,0))*$J27*INDEX(Act_Type_Augex_Splits,MATCH($I27,Act_Type_Augex,0),MATCH(AF$4,Mat_Type,0))*INDEX(Escalators!$I$44:$U$49,MATCH(AF$4,Escalators!$C$44:$C$49,0),MATCH(AF$5,Escalators!$I$43:$U$43,0))</f>
        <v>0</v>
      </c>
      <c r="AG27" s="47">
        <f t="shared" si="23"/>
        <v>0</v>
      </c>
      <c r="AH27" s="47">
        <f>INDEX(Direct_Cost_Splits_Network,MATCH($H27,RIN_Asset_Cat_Network,0),MATCH($AY$4,Direct_Cost_Type,0))*$K27*INDEX(Act_Type_Augex_Splits,MATCH($I27,Act_Type_Augex,0),MATCH(AH$4,Mat_Type,0))*INDEX(Escalators!$I$44:$U$49,MATCH(AH$4,Escalators!$C$44:$C$49,0),MATCH(AH$5,Escalators!$I$43:$U$43,0))</f>
        <v>0</v>
      </c>
      <c r="AI27" s="47">
        <f>INDEX(Direct_Cost_Splits_Network,MATCH($H27,RIN_Asset_Cat_Network,0),MATCH($AY$4,Direct_Cost_Type,0))*$K27*INDEX(Act_Type_Augex_Splits,MATCH($I27,Act_Type_Augex,0),MATCH(AI$4,Mat_Type,0))*INDEX(Escalators!$I$44:$U$49,MATCH(AI$4,Escalators!$C$44:$C$49,0),MATCH(AI$5,Escalators!$I$43:$U$43,0))</f>
        <v>0</v>
      </c>
      <c r="AJ27" s="47">
        <f>INDEX(Direct_Cost_Splits_Network,MATCH($H27,RIN_Asset_Cat_Network,0),MATCH($AY$4,Direct_Cost_Type,0))*$K27*INDEX(Act_Type_Augex_Splits,MATCH($I27,Act_Type_Augex,0),MATCH(AJ$4,Mat_Type,0))*INDEX(Escalators!$I$44:$U$49,MATCH(AJ$4,Escalators!$C$44:$C$49,0),MATCH(AJ$5,Escalators!$I$43:$U$43,0))</f>
        <v>0</v>
      </c>
      <c r="AK27" s="47">
        <f>INDEX(Direct_Cost_Splits_Network,MATCH($H27,RIN_Asset_Cat_Network,0),MATCH($AY$4,Direct_Cost_Type,0))*$K27*INDEX(Act_Type_Augex_Splits,MATCH($I27,Act_Type_Augex,0),MATCH(AK$4,Mat_Type,0))*INDEX(Escalators!$I$44:$U$49,MATCH(AK$4,Escalators!$C$44:$C$49,0),MATCH(AK$5,Escalators!$I$43:$U$43,0))</f>
        <v>0</v>
      </c>
      <c r="AL27" s="47">
        <f>INDEX(Direct_Cost_Splits_Network,MATCH($H27,RIN_Asset_Cat_Network,0),MATCH($AY$4,Direct_Cost_Type,0))*$K27*INDEX(Act_Type_Augex_Splits,MATCH($I27,Act_Type_Augex,0),MATCH(AL$4,Mat_Type,0))*INDEX(Escalators!$I$44:$U$49,MATCH(AL$4,Escalators!$C$44:$C$49,0),MATCH(AL$5,Escalators!$I$43:$U$43,0))</f>
        <v>0</v>
      </c>
      <c r="AM27" s="47">
        <f t="shared" si="24"/>
        <v>0</v>
      </c>
      <c r="AN27" s="47">
        <f>INDEX(Direct_Cost_Splits_Network,MATCH($H27,RIN_Asset_Cat_Network,0),MATCH($AY$4,Direct_Cost_Type,0))*$L27*INDEX(Act_Type_Augex_Splits,MATCH($I27,Act_Type_Augex,0),MATCH(AN$4,Mat_Type,0))*INDEX(Escalators!$I$44:$U$49,MATCH(AN$4,Escalators!$C$44:$C$49,0),MATCH(AN$5,Escalators!$I$43:$U$43,0))</f>
        <v>0</v>
      </c>
      <c r="AO27" s="47">
        <f>INDEX(Direct_Cost_Splits_Network,MATCH($H27,RIN_Asset_Cat_Network,0),MATCH($AY$4,Direct_Cost_Type,0))*$L27*INDEX(Act_Type_Augex_Splits,MATCH($I27,Act_Type_Augex,0),MATCH(AO$4,Mat_Type,0))*INDEX(Escalators!$I$44:$U$49,MATCH(AO$4,Escalators!$C$44:$C$49,0),MATCH(AO$5,Escalators!$I$43:$U$43,0))</f>
        <v>0</v>
      </c>
      <c r="AP27" s="47">
        <f>INDEX(Direct_Cost_Splits_Network,MATCH($H27,RIN_Asset_Cat_Network,0),MATCH($AY$4,Direct_Cost_Type,0))*$L27*INDEX(Act_Type_Augex_Splits,MATCH($I27,Act_Type_Augex,0),MATCH(AP$4,Mat_Type,0))*INDEX(Escalators!$I$44:$U$49,MATCH(AP$4,Escalators!$C$44:$C$49,0),MATCH(AP$5,Escalators!$I$43:$U$43,0))</f>
        <v>0</v>
      </c>
      <c r="AQ27" s="47">
        <f>INDEX(Direct_Cost_Splits_Network,MATCH($H27,RIN_Asset_Cat_Network,0),MATCH($AY$4,Direct_Cost_Type,0))*$L27*INDEX(Act_Type_Augex_Splits,MATCH($I27,Act_Type_Augex,0),MATCH(AQ$4,Mat_Type,0))*INDEX(Escalators!$I$44:$U$49,MATCH(AQ$4,Escalators!$C$44:$C$49,0),MATCH(AQ$5,Escalators!$I$43:$U$43,0))</f>
        <v>0</v>
      </c>
      <c r="AR27" s="47">
        <f>INDEX(Direct_Cost_Splits_Network,MATCH($H27,RIN_Asset_Cat_Network,0),MATCH($AY$4,Direct_Cost_Type,0))*$L27*INDEX(Act_Type_Augex_Splits,MATCH($I27,Act_Type_Augex,0),MATCH(AR$4,Mat_Type,0))*INDEX(Escalators!$I$44:$U$49,MATCH(AR$4,Escalators!$C$44:$C$49,0),MATCH(AR$5,Escalators!$I$43:$U$43,0))</f>
        <v>0</v>
      </c>
      <c r="AS27" s="47">
        <f t="shared" si="8"/>
        <v>0</v>
      </c>
      <c r="AT27" s="47">
        <f>INDEX(Direct_Cost_Splits_Network,MATCH($H27,RIN_Asset_Cat_Network,0),MATCH($AY$4,Direct_Cost_Type,0))*$M27*INDEX(Act_Type_Augex_Splits,MATCH($I27,Act_Type_Augex,0),MATCH(AT$4,Mat_Type,0))*INDEX(Escalators!$I$44:$U$49,MATCH(AT$4,Escalators!$C$44:$C$49,0),MATCH(AT$5,Escalators!$I$43:$U$43,0))</f>
        <v>0</v>
      </c>
      <c r="AU27" s="47">
        <f>INDEX(Direct_Cost_Splits_Network,MATCH($H27,RIN_Asset_Cat_Network,0),MATCH($AY$4,Direct_Cost_Type,0))*$M27*INDEX(Act_Type_Augex_Splits,MATCH($I27,Act_Type_Augex,0),MATCH(AU$4,Mat_Type,0))*INDEX(Escalators!$I$44:$U$49,MATCH(AU$4,Escalators!$C$44:$C$49,0),MATCH(AU$5,Escalators!$I$43:$U$43,0))</f>
        <v>0</v>
      </c>
      <c r="AV27" s="47">
        <f>INDEX(Direct_Cost_Splits_Network,MATCH($H27,RIN_Asset_Cat_Network,0),MATCH($AY$4,Direct_Cost_Type,0))*$M27*INDEX(Act_Type_Augex_Splits,MATCH($I27,Act_Type_Augex,0),MATCH(AV$4,Mat_Type,0))*INDEX(Escalators!$I$44:$U$49,MATCH(AV$4,Escalators!$C$44:$C$49,0),MATCH(AV$5,Escalators!$I$43:$U$43,0))</f>
        <v>0</v>
      </c>
      <c r="AW27" s="47">
        <f>INDEX(Direct_Cost_Splits_Network,MATCH($H27,RIN_Asset_Cat_Network,0),MATCH($AY$4,Direct_Cost_Type,0))*$M27*INDEX(Act_Type_Augex_Splits,MATCH($I27,Act_Type_Augex,0),MATCH(AW$4,Mat_Type,0))*INDEX(Escalators!$I$44:$U$49,MATCH(AW$4,Escalators!$C$44:$C$49,0),MATCH(AW$5,Escalators!$I$43:$U$43,0))</f>
        <v>0</v>
      </c>
      <c r="AX27" s="47">
        <f>INDEX(Direct_Cost_Splits_Network,MATCH($H27,RIN_Asset_Cat_Network,0),MATCH($AY$4,Direct_Cost_Type,0))*$M27*INDEX(Act_Type_Augex_Splits,MATCH($I27,Act_Type_Augex,0),MATCH(AX$4,Mat_Type,0))*INDEX(Escalators!$I$44:$U$49,MATCH(AX$4,Escalators!$C$44:$C$49,0),MATCH(AX$5,Escalators!$I$43:$U$43,0))</f>
        <v>0</v>
      </c>
      <c r="AY27" s="47">
        <f t="shared" si="9"/>
        <v>0</v>
      </c>
      <c r="AZ27" s="47">
        <f>INDEX(Direct_Cost_Splits_Network,MATCH($H27,RIN_Asset_Cat_Network,0),MATCH($BE$4,Direct_Cost_Type,0))*$N27*INDEX(Act_Type_Augex_Splits,MATCH($I27,Act_Type_Augex,0),MATCH(AZ$4,Mat_Type,0))*INDEX(Escalators!$I$44:$U$49,MATCH(AZ$4,Escalators!$C$44:$C$49,0),MATCH(AZ$5,Escalators!$I$43:$U$43,0))</f>
        <v>128.90026160133252</v>
      </c>
      <c r="BA27" s="47">
        <f>INDEX(Direct_Cost_Splits_Network,MATCH($H27,RIN_Asset_Cat_Network,0),MATCH($BE$4,Direct_Cost_Type,0))*$N27*INDEX(Act_Type_Augex_Splits,MATCH($I27,Act_Type_Augex,0),MATCH(BA$4,Mat_Type,0))*INDEX(Escalators!$I$44:$U$49,MATCH(BA$4,Escalators!$C$44:$C$49,0),MATCH(BA$5,Escalators!$I$43:$U$43,0))</f>
        <v>386.70078480399758</v>
      </c>
      <c r="BB27" s="47">
        <f>INDEX(Direct_Cost_Splits_Network,MATCH($H27,RIN_Asset_Cat_Network,0),MATCH($BE$4,Direct_Cost_Type,0))*$N27*INDEX(Act_Type_Augex_Splits,MATCH($I27,Act_Type_Augex,0),MATCH(BB$4,Mat_Type,0))*INDEX(Escalators!$I$44:$U$49,MATCH(BB$4,Escalators!$C$44:$C$49,0),MATCH(BB$5,Escalators!$I$43:$U$43,0))</f>
        <v>1031.2020928106601</v>
      </c>
      <c r="BC27" s="47">
        <f>INDEX(Direct_Cost_Splits_Network,MATCH($H27,RIN_Asset_Cat_Network,0),MATCH($BE$4,Direct_Cost_Type,0))*$N27*INDEX(Act_Type_Augex_Splits,MATCH($I27,Act_Type_Augex,0),MATCH(BC$4,Mat_Type,0))*INDEX(Escalators!$I$44:$U$49,MATCH(BC$4,Escalators!$C$44:$C$49,0),MATCH(BC$5,Escalators!$I$43:$U$43,0))</f>
        <v>128.90026160133252</v>
      </c>
      <c r="BD27" s="47">
        <f>INDEX(Direct_Cost_Splits_Network,MATCH($H27,RIN_Asset_Cat_Network,0),MATCH($BE$4,Direct_Cost_Type,0))*$N27*INDEX(Act_Type_Augex_Splits,MATCH($I27,Act_Type_Augex,0),MATCH(BD$4,Mat_Type,0))*INDEX(Escalators!$I$44:$U$49,MATCH(BD$4,Escalators!$C$44:$C$49,0),MATCH(BD$5,Escalators!$I$43:$U$43,0))</f>
        <v>902.30183120932759</v>
      </c>
      <c r="BE27" s="47">
        <f t="shared" si="10"/>
        <v>2578.00523202665</v>
      </c>
      <c r="BF27" s="47">
        <f>INDEX(Direct_Cost_Splits_Network,MATCH($H27,RIN_Asset_Cat_Network,0),MATCH($BK$4,Direct_Cost_Type,0))*$O27*INDEX(Act_Type_Augex_Splits,MATCH($I27,Act_Type_Augex,0),MATCH(BF$4,Mat_Type,0))*INDEX(Escalators!$I$44:$U$49,MATCH(BF$4,Escalators!$C$44:$C$49,0),MATCH(BF$5,Escalators!$I$43:$U$43,0))</f>
        <v>228.10506318185449</v>
      </c>
      <c r="BG27" s="47">
        <f>INDEX(Direct_Cost_Splits_Network,MATCH($H27,RIN_Asset_Cat_Network,0),MATCH($BK$4,Direct_Cost_Type,0))*$O27*INDEX(Act_Type_Augex_Splits,MATCH($I27,Act_Type_Augex,0),MATCH(BG$4,Mat_Type,0))*INDEX(Escalators!$I$44:$U$49,MATCH(BG$4,Escalators!$C$44:$C$49,0),MATCH(BG$5,Escalators!$I$43:$U$43,0))</f>
        <v>684.31518954556338</v>
      </c>
      <c r="BH27" s="47">
        <f>INDEX(Direct_Cost_Splits_Network,MATCH($H27,RIN_Asset_Cat_Network,0),MATCH($BK$4,Direct_Cost_Type,0))*$O27*INDEX(Act_Type_Augex_Splits,MATCH($I27,Act_Type_Augex,0),MATCH(BH$4,Mat_Type,0))*INDEX(Escalators!$I$44:$U$49,MATCH(BH$4,Escalators!$C$44:$C$49,0),MATCH(BH$5,Escalators!$I$43:$U$43,0))</f>
        <v>1824.8405054548359</v>
      </c>
      <c r="BI27" s="47">
        <f>INDEX(Direct_Cost_Splits_Network,MATCH($H27,RIN_Asset_Cat_Network,0),MATCH($BK$4,Direct_Cost_Type,0))*$O27*INDEX(Act_Type_Augex_Splits,MATCH($I27,Act_Type_Augex,0),MATCH(BI$4,Mat_Type,0))*INDEX(Escalators!$I$44:$U$49,MATCH(BI$4,Escalators!$C$44:$C$49,0),MATCH(BI$5,Escalators!$I$43:$U$43,0))</f>
        <v>228.10506318185449</v>
      </c>
      <c r="BJ27" s="47">
        <f>INDEX(Direct_Cost_Splits_Network,MATCH($H27,RIN_Asset_Cat_Network,0),MATCH($BK$4,Direct_Cost_Type,0))*$O27*INDEX(Act_Type_Augex_Splits,MATCH($I27,Act_Type_Augex,0),MATCH(BJ$4,Mat_Type,0))*INDEX(Escalators!$I$44:$U$49,MATCH(BJ$4,Escalators!$C$44:$C$49,0),MATCH(BJ$5,Escalators!$I$43:$U$43,0))</f>
        <v>1596.7354422729813</v>
      </c>
      <c r="BK27" s="47">
        <f t="shared" si="11"/>
        <v>4562.1012636370897</v>
      </c>
      <c r="BL27" s="47">
        <f>INDEX(Direct_Cost_Splits_Network,MATCH($H27,RIN_Asset_Cat_Network,0),MATCH($BQ$4,Direct_Cost_Type,0))*$P27*INDEX(Act_Type_Augex_Splits,MATCH($I27,Act_Type_Augex,0),MATCH(BL$4,Mat_Type,0))*INDEX(Escalators!$I$44:$U$49,MATCH(BL$4,Escalators!$C$44:$C$49,0),MATCH(BL$5,Escalators!$I$43:$U$43,0))</f>
        <v>327.30986476237649</v>
      </c>
      <c r="BM27" s="47">
        <f>INDEX(Direct_Cost_Splits_Network,MATCH($H27,RIN_Asset_Cat_Network,0),MATCH($BQ$4,Direct_Cost_Type,0))*$P27*INDEX(Act_Type_Augex_Splits,MATCH($I27,Act_Type_Augex,0),MATCH(BM$4,Mat_Type,0))*INDEX(Escalators!$I$44:$U$49,MATCH(BM$4,Escalators!$C$44:$C$49,0),MATCH(BM$5,Escalators!$I$43:$U$43,0))</f>
        <v>981.92959428712925</v>
      </c>
      <c r="BN27" s="47">
        <f>INDEX(Direct_Cost_Splits_Network,MATCH($H27,RIN_Asset_Cat_Network,0),MATCH($BQ$4,Direct_Cost_Type,0))*$P27*INDEX(Act_Type_Augex_Splits,MATCH($I27,Act_Type_Augex,0),MATCH(BN$4,Mat_Type,0))*INDEX(Escalators!$I$44:$U$49,MATCH(BN$4,Escalators!$C$44:$C$49,0),MATCH(BN$5,Escalators!$I$43:$U$43,0))</f>
        <v>2618.4789180990119</v>
      </c>
      <c r="BO27" s="47">
        <f>INDEX(Direct_Cost_Splits_Network,MATCH($H27,RIN_Asset_Cat_Network,0),MATCH($BQ$4,Direct_Cost_Type,0))*$P27*INDEX(Act_Type_Augex_Splits,MATCH($I27,Act_Type_Augex,0),MATCH(BO$4,Mat_Type,0))*INDEX(Escalators!$I$44:$U$49,MATCH(BO$4,Escalators!$C$44:$C$49,0),MATCH(BO$5,Escalators!$I$43:$U$43,0))</f>
        <v>327.30986476237649</v>
      </c>
      <c r="BP27" s="47">
        <f>INDEX(Direct_Cost_Splits_Network,MATCH($H27,RIN_Asset_Cat_Network,0),MATCH($BQ$4,Direct_Cost_Type,0))*$P27*INDEX(Act_Type_Augex_Splits,MATCH($I27,Act_Type_Augex,0),MATCH(BP$4,Mat_Type,0))*INDEX(Escalators!$I$44:$U$49,MATCH(BP$4,Escalators!$C$44:$C$49,0),MATCH(BP$5,Escalators!$I$43:$U$43,0))</f>
        <v>2291.169053336635</v>
      </c>
      <c r="BQ27" s="47">
        <f t="shared" si="12"/>
        <v>6546.1972952475298</v>
      </c>
      <c r="BR27" s="47">
        <f>INDEX(Direct_Cost_Splits_Network,MATCH($H27,RIN_Asset_Cat_Network,0),MATCH($BW$4,Direct_Cost_Type,0))*$Q27*INDEX(Act_Type_Augex_Splits,MATCH($I27,Act_Type_Augex,0),MATCH(BR$4,Mat_Type,0))*INDEX(Escalators!$I$44:$U$49,MATCH(BR$4,Escalators!$C$44:$C$49,0),MATCH(BR$5,Escalators!$I$43:$U$43,0))</f>
        <v>355.65127651033941</v>
      </c>
      <c r="BS27" s="47">
        <f>INDEX(Direct_Cost_Splits_Network,MATCH($H27,RIN_Asset_Cat_Network,0),MATCH($BW$4,Direct_Cost_Type,0))*$Q27*INDEX(Act_Type_Augex_Splits,MATCH($I27,Act_Type_Augex,0),MATCH(BS$4,Mat_Type,0))*INDEX(Escalators!$I$44:$U$49,MATCH(BS$4,Escalators!$C$44:$C$49,0),MATCH(BS$5,Escalators!$I$43:$U$43,0))</f>
        <v>1066.9538295310181</v>
      </c>
      <c r="BT27" s="47">
        <f>INDEX(Direct_Cost_Splits_Network,MATCH($H27,RIN_Asset_Cat_Network,0),MATCH($BW$4,Direct_Cost_Type,0))*$Q27*INDEX(Act_Type_Augex_Splits,MATCH($I27,Act_Type_Augex,0),MATCH(BT$4,Mat_Type,0))*INDEX(Escalators!$I$44:$U$49,MATCH(BT$4,Escalators!$C$44:$C$49,0),MATCH(BT$5,Escalators!$I$43:$U$43,0))</f>
        <v>2845.2102120827153</v>
      </c>
      <c r="BU27" s="47">
        <f>INDEX(Direct_Cost_Splits_Network,MATCH($H27,RIN_Asset_Cat_Network,0),MATCH($BW$4,Direct_Cost_Type,0))*$Q27*INDEX(Act_Type_Augex_Splits,MATCH($I27,Act_Type_Augex,0),MATCH(BU$4,Mat_Type,0))*INDEX(Escalators!$I$44:$U$49,MATCH(BU$4,Escalators!$C$44:$C$49,0),MATCH(BU$5,Escalators!$I$43:$U$43,0))</f>
        <v>355.65127651033941</v>
      </c>
      <c r="BV27" s="47">
        <f>INDEX(Direct_Cost_Splits_Network,MATCH($H27,RIN_Asset_Cat_Network,0),MATCH($BW$4,Direct_Cost_Type,0))*$Q27*INDEX(Act_Type_Augex_Splits,MATCH($I27,Act_Type_Augex,0),MATCH(BV$4,Mat_Type,0))*INDEX(Escalators!$I$44:$U$49,MATCH(BV$4,Escalators!$C$44:$C$49,0),MATCH(BV$5,Escalators!$I$43:$U$43,0))</f>
        <v>2489.5589355723755</v>
      </c>
      <c r="BW27" s="47">
        <f t="shared" si="13"/>
        <v>7113.0255302067872</v>
      </c>
      <c r="BY27" s="47">
        <f>INDEX(Direct_Cost_Splits_Network,MATCH($H27,RIN_Asset_Cat_Network,0),MATCH($BY$4,Direct_Cost_Type,0))*J27*HLOOKUP(BY$5,Escalators!$I$25:$U$30,6,FALSE)</f>
        <v>0</v>
      </c>
      <c r="BZ27" s="47">
        <f>INDEX(Direct_Cost_Splits_Network,MATCH($H27,RIN_Asset_Cat_Network,0),MATCH($BY$4,Direct_Cost_Type,0))*K27*HLOOKUP(BZ$5,Escalators!$I$25:$U$30,6,FALSE)</f>
        <v>0</v>
      </c>
      <c r="CA27" s="47">
        <f>INDEX(Direct_Cost_Splits_Network,MATCH($H27,RIN_Asset_Cat_Network,0),MATCH($BY$4,Direct_Cost_Type,0))*L27*HLOOKUP(CA$5,Escalators!$I$25:$U$30,6,FALSE)</f>
        <v>0</v>
      </c>
      <c r="CB27" s="47">
        <f>INDEX(Direct_Cost_Splits_Network,MATCH($H27,RIN_Asset_Cat_Network,0),MATCH($BY$4,Direct_Cost_Type,0))*M27*HLOOKUP(CB$5,Escalators!$I$25:$U$30,6,FALSE)</f>
        <v>0</v>
      </c>
      <c r="CC27" s="47">
        <f>INDEX(Direct_Cost_Splits_Network,MATCH($H27,RIN_Asset_Cat_Network,0),MATCH($BY$4,Direct_Cost_Type,0))*N27*HLOOKUP(CC$5,Escalators!$I$25:$U$30,6,FALSE)</f>
        <v>3665.194955510367</v>
      </c>
      <c r="CD27" s="47">
        <f>INDEX(Direct_Cost_Splits_Network,MATCH($H27,RIN_Asset_Cat_Network,0),MATCH($BY$4,Direct_Cost_Type,0))*O27*HLOOKUP(CD$5,Escalators!$I$25:$U$30,6,FALSE)</f>
        <v>6555.833613667759</v>
      </c>
      <c r="CE27" s="47">
        <f>INDEX(Direct_Cost_Splits_Network,MATCH($H27,RIN_Asset_Cat_Network,0),MATCH($BY$4,Direct_Cost_Type,0))*P27*HLOOKUP(CE$5,Escalators!$I$25:$U$30,6,FALSE)</f>
        <v>9495.9663529286827</v>
      </c>
      <c r="CF27" s="47">
        <f>INDEX(Direct_Cost_Splits_Network,MATCH($H27,RIN_Asset_Cat_Network,0),MATCH($BY$4,Direct_Cost_Type,0))*Q27*HLOOKUP(CF$5,Escalators!$I$25:$U$30,6,FALSE)</f>
        <v>10409.012206450867</v>
      </c>
      <c r="CH27" s="47">
        <f t="shared" si="26"/>
        <v>0</v>
      </c>
      <c r="CI27" s="47">
        <f t="shared" si="27"/>
        <v>0</v>
      </c>
      <c r="CJ27" s="47">
        <f t="shared" si="28"/>
        <v>0</v>
      </c>
      <c r="CK27" s="47">
        <f t="shared" si="29"/>
        <v>0</v>
      </c>
      <c r="CL27" s="47">
        <f t="shared" si="30"/>
        <v>964.8790012887265</v>
      </c>
      <c r="CM27" s="47">
        <f t="shared" si="31"/>
        <v>1707.4735366521115</v>
      </c>
      <c r="CN27" s="47">
        <f t="shared" si="32"/>
        <v>2450.0680720154965</v>
      </c>
      <c r="CO27" s="47">
        <f t="shared" si="33"/>
        <v>2662.2168506352318</v>
      </c>
      <c r="CQ27" s="373">
        <f t="shared" si="15"/>
        <v>0</v>
      </c>
      <c r="CR27" s="47">
        <f t="shared" si="16"/>
        <v>0</v>
      </c>
      <c r="CS27" s="47">
        <f t="shared" si="17"/>
        <v>0</v>
      </c>
      <c r="CT27" s="47">
        <f t="shared" si="18"/>
        <v>0</v>
      </c>
      <c r="CU27" s="47">
        <f t="shared" si="19"/>
        <v>8557.5153280810355</v>
      </c>
      <c r="CV27" s="47">
        <f t="shared" si="20"/>
        <v>15239.107796558021</v>
      </c>
      <c r="CW27" s="47">
        <f t="shared" si="21"/>
        <v>21988.416869778088</v>
      </c>
      <c r="CX27" s="47">
        <f t="shared" si="22"/>
        <v>24016.60113797681</v>
      </c>
      <c r="CZ27" s="39"/>
    </row>
    <row r="28" spans="2:104" x14ac:dyDescent="0.3">
      <c r="B28" s="7" t="s">
        <v>651</v>
      </c>
      <c r="C28" s="7" t="s">
        <v>555</v>
      </c>
      <c r="D28" s="7" t="s">
        <v>425</v>
      </c>
      <c r="E28" s="7" t="s">
        <v>48</v>
      </c>
      <c r="F28" s="7" t="s">
        <v>55</v>
      </c>
      <c r="G28" s="7" t="s">
        <v>10</v>
      </c>
      <c r="H28" s="7" t="s">
        <v>152</v>
      </c>
      <c r="I28" s="7" t="s">
        <v>576</v>
      </c>
      <c r="J28" s="45"/>
      <c r="K28" s="45"/>
      <c r="L28" s="45"/>
      <c r="M28" s="45">
        <v>0</v>
      </c>
      <c r="N28" s="45">
        <v>2399.5306011935345</v>
      </c>
      <c r="O28" s="45">
        <v>4203.2169843119755</v>
      </c>
      <c r="P28" s="45">
        <v>6006.9033674304173</v>
      </c>
      <c r="Q28" s="45">
        <v>6553.4691122954855</v>
      </c>
      <c r="S28" s="47">
        <f>INDEX(Direct_Cost_Splits_Network,MATCH($H28,RIN_Asset_Cat_Network,0),MATCH($S$4,Direct_Cost_Type,0))*J28*HLOOKUP(S$5,Escalators!$I$25:$U$30,3,FALSE)</f>
        <v>0</v>
      </c>
      <c r="T28" s="47">
        <f>INDEX(Direct_Cost_Splits_Network,MATCH($H28,RIN_Asset_Cat_Network,0),MATCH($S$4,Direct_Cost_Type,0))*K28*HLOOKUP(T$5,Escalators!$I$25:$U$30,3,FALSE)</f>
        <v>0</v>
      </c>
      <c r="U28" s="47">
        <f>INDEX(Direct_Cost_Splits_Network,MATCH($H28,RIN_Asset_Cat_Network,0),MATCH($S$4,Direct_Cost_Type,0))*L28*HLOOKUP(U$5,Escalators!$I$25:$U$30,3,FALSE)</f>
        <v>0</v>
      </c>
      <c r="V28" s="47">
        <f>INDEX(Direct_Cost_Splits_Network,MATCH($H28,RIN_Asset_Cat_Network,0),MATCH($S$4,Direct_Cost_Type,0))*M28*HLOOKUP(V$5,Escalators!$I$25:$U$30,3,FALSE)</f>
        <v>0</v>
      </c>
      <c r="W28" s="47">
        <f>INDEX(Direct_Cost_Splits_Network,MATCH($H28,RIN_Asset_Cat_Network,0),MATCH($S$4,Direct_Cost_Type,0))*N28*HLOOKUP(W$5,Escalators!$I$25:$U$30,3,FALSE)</f>
        <v>387.88142707671886</v>
      </c>
      <c r="X28" s="47">
        <f>INDEX(Direct_Cost_Splits_Network,MATCH($H28,RIN_Asset_Cat_Network,0),MATCH($S$4,Direct_Cost_Type,0))*O28*HLOOKUP(X$5,Escalators!$I$25:$U$30,3,FALSE)</f>
        <v>686.75877651220742</v>
      </c>
      <c r="Y28" s="47">
        <f>INDEX(Direct_Cost_Splits_Network,MATCH($H28,RIN_Asset_Cat_Network,0),MATCH($S$4,Direct_Cost_Type,0))*P28*HLOOKUP(Y$5,Escalators!$I$25:$U$30,3,FALSE)</f>
        <v>990.74098323152498</v>
      </c>
      <c r="Z28" s="47">
        <f>INDEX(Direct_Cost_Splits_Network,MATCH($H28,RIN_Asset_Cat_Network,0),MATCH($S$4,Direct_Cost_Type,0))*Q28*HLOOKUP(Z$5,Escalators!$I$25:$U$30,3,FALSE)</f>
        <v>1090.3999260596711</v>
      </c>
      <c r="AB28" s="6">
        <f>INDEX(Direct_Cost_Splits_Network,MATCH($H28,RIN_Asset_Cat_Network,0),MATCH($AG$4,Direct_Cost_Type,0))*$J28*INDEX(Act_Type_Augex_Splits,MATCH($I28,Act_Type_Augex,0),MATCH(AB$4,Mat_Type,0))*INDEX(Escalators!$I$44:$U$49,MATCH(AB$4,Escalators!$C$44:$C$49,0),MATCH(AB$5,Escalators!$I$43:$U$43,0))</f>
        <v>0</v>
      </c>
      <c r="AC28" s="6">
        <f>INDEX(Direct_Cost_Splits_Network,MATCH($H28,RIN_Asset_Cat_Network,0),MATCH($AG$4,Direct_Cost_Type,0))*$J28*INDEX(Act_Type_Augex_Splits,MATCH($I28,Act_Type_Augex,0),MATCH(AC$4,Mat_Type,0))*INDEX(Escalators!$I$44:$U$49,MATCH(AC$4,Escalators!$C$44:$C$49,0),MATCH(AC$5,Escalators!$I$43:$U$43,0))</f>
        <v>0</v>
      </c>
      <c r="AD28" s="6">
        <f>INDEX(Direct_Cost_Splits_Network,MATCH($H28,RIN_Asset_Cat_Network,0),MATCH($AG$4,Direct_Cost_Type,0))*$J28*INDEX(Act_Type_Augex_Splits,MATCH($I28,Act_Type_Augex,0),MATCH(AD$4,Mat_Type,0))*INDEX(Escalators!$I$44:$U$49,MATCH(AD$4,Escalators!$C$44:$C$49,0),MATCH(AD$5,Escalators!$I$43:$U$43,0))</f>
        <v>0</v>
      </c>
      <c r="AE28" s="6">
        <f>INDEX(Direct_Cost_Splits_Network,MATCH($H28,RIN_Asset_Cat_Network,0),MATCH($AG$4,Direct_Cost_Type,0))*$J28*INDEX(Act_Type_Augex_Splits,MATCH($I28,Act_Type_Augex,0),MATCH(AE$4,Mat_Type,0))*INDEX(Escalators!$I$44:$U$49,MATCH(AE$4,Escalators!$C$44:$C$49,0),MATCH(AE$5,Escalators!$I$43:$U$43,0))</f>
        <v>0</v>
      </c>
      <c r="AF28" s="6">
        <f>INDEX(Direct_Cost_Splits_Network,MATCH($H28,RIN_Asset_Cat_Network,0),MATCH($AG$4,Direct_Cost_Type,0))*$J28*INDEX(Act_Type_Augex_Splits,MATCH($I28,Act_Type_Augex,0),MATCH(AF$4,Mat_Type,0))*INDEX(Escalators!$I$44:$U$49,MATCH(AF$4,Escalators!$C$44:$C$49,0),MATCH(AF$5,Escalators!$I$43:$U$43,0))</f>
        <v>0</v>
      </c>
      <c r="AG28" s="47">
        <f t="shared" si="23"/>
        <v>0</v>
      </c>
      <c r="AH28" s="47">
        <f>INDEX(Direct_Cost_Splits_Network,MATCH($H28,RIN_Asset_Cat_Network,0),MATCH($AY$4,Direct_Cost_Type,0))*$K28*INDEX(Act_Type_Augex_Splits,MATCH($I28,Act_Type_Augex,0),MATCH(AH$4,Mat_Type,0))*INDEX(Escalators!$I$44:$U$49,MATCH(AH$4,Escalators!$C$44:$C$49,0),MATCH(AH$5,Escalators!$I$43:$U$43,0))</f>
        <v>0</v>
      </c>
      <c r="AI28" s="47">
        <f>INDEX(Direct_Cost_Splits_Network,MATCH($H28,RIN_Asset_Cat_Network,0),MATCH($AY$4,Direct_Cost_Type,0))*$K28*INDEX(Act_Type_Augex_Splits,MATCH($I28,Act_Type_Augex,0),MATCH(AI$4,Mat_Type,0))*INDEX(Escalators!$I$44:$U$49,MATCH(AI$4,Escalators!$C$44:$C$49,0),MATCH(AI$5,Escalators!$I$43:$U$43,0))</f>
        <v>0</v>
      </c>
      <c r="AJ28" s="47">
        <f>INDEX(Direct_Cost_Splits_Network,MATCH($H28,RIN_Asset_Cat_Network,0),MATCH($AY$4,Direct_Cost_Type,0))*$K28*INDEX(Act_Type_Augex_Splits,MATCH($I28,Act_Type_Augex,0),MATCH(AJ$4,Mat_Type,0))*INDEX(Escalators!$I$44:$U$49,MATCH(AJ$4,Escalators!$C$44:$C$49,0),MATCH(AJ$5,Escalators!$I$43:$U$43,0))</f>
        <v>0</v>
      </c>
      <c r="AK28" s="47">
        <f>INDEX(Direct_Cost_Splits_Network,MATCH($H28,RIN_Asset_Cat_Network,0),MATCH($AY$4,Direct_Cost_Type,0))*$K28*INDEX(Act_Type_Augex_Splits,MATCH($I28,Act_Type_Augex,0),MATCH(AK$4,Mat_Type,0))*INDEX(Escalators!$I$44:$U$49,MATCH(AK$4,Escalators!$C$44:$C$49,0),MATCH(AK$5,Escalators!$I$43:$U$43,0))</f>
        <v>0</v>
      </c>
      <c r="AL28" s="47">
        <f>INDEX(Direct_Cost_Splits_Network,MATCH($H28,RIN_Asset_Cat_Network,0),MATCH($AY$4,Direct_Cost_Type,0))*$K28*INDEX(Act_Type_Augex_Splits,MATCH($I28,Act_Type_Augex,0),MATCH(AL$4,Mat_Type,0))*INDEX(Escalators!$I$44:$U$49,MATCH(AL$4,Escalators!$C$44:$C$49,0),MATCH(AL$5,Escalators!$I$43:$U$43,0))</f>
        <v>0</v>
      </c>
      <c r="AM28" s="47">
        <f t="shared" si="24"/>
        <v>0</v>
      </c>
      <c r="AN28" s="47">
        <f>INDEX(Direct_Cost_Splits_Network,MATCH($H28,RIN_Asset_Cat_Network,0),MATCH($AY$4,Direct_Cost_Type,0))*$L28*INDEX(Act_Type_Augex_Splits,MATCH($I28,Act_Type_Augex,0),MATCH(AN$4,Mat_Type,0))*INDEX(Escalators!$I$44:$U$49,MATCH(AN$4,Escalators!$C$44:$C$49,0),MATCH(AN$5,Escalators!$I$43:$U$43,0))</f>
        <v>0</v>
      </c>
      <c r="AO28" s="47">
        <f>INDEX(Direct_Cost_Splits_Network,MATCH($H28,RIN_Asset_Cat_Network,0),MATCH($AY$4,Direct_Cost_Type,0))*$L28*INDEX(Act_Type_Augex_Splits,MATCH($I28,Act_Type_Augex,0),MATCH(AO$4,Mat_Type,0))*INDEX(Escalators!$I$44:$U$49,MATCH(AO$4,Escalators!$C$44:$C$49,0),MATCH(AO$5,Escalators!$I$43:$U$43,0))</f>
        <v>0</v>
      </c>
      <c r="AP28" s="47">
        <f>INDEX(Direct_Cost_Splits_Network,MATCH($H28,RIN_Asset_Cat_Network,0),MATCH($AY$4,Direct_Cost_Type,0))*$L28*INDEX(Act_Type_Augex_Splits,MATCH($I28,Act_Type_Augex,0),MATCH(AP$4,Mat_Type,0))*INDEX(Escalators!$I$44:$U$49,MATCH(AP$4,Escalators!$C$44:$C$49,0),MATCH(AP$5,Escalators!$I$43:$U$43,0))</f>
        <v>0</v>
      </c>
      <c r="AQ28" s="47">
        <f>INDEX(Direct_Cost_Splits_Network,MATCH($H28,RIN_Asset_Cat_Network,0),MATCH($AY$4,Direct_Cost_Type,0))*$L28*INDEX(Act_Type_Augex_Splits,MATCH($I28,Act_Type_Augex,0),MATCH(AQ$4,Mat_Type,0))*INDEX(Escalators!$I$44:$U$49,MATCH(AQ$4,Escalators!$C$44:$C$49,0),MATCH(AQ$5,Escalators!$I$43:$U$43,0))</f>
        <v>0</v>
      </c>
      <c r="AR28" s="47">
        <f>INDEX(Direct_Cost_Splits_Network,MATCH($H28,RIN_Asset_Cat_Network,0),MATCH($AY$4,Direct_Cost_Type,0))*$L28*INDEX(Act_Type_Augex_Splits,MATCH($I28,Act_Type_Augex,0),MATCH(AR$4,Mat_Type,0))*INDEX(Escalators!$I$44:$U$49,MATCH(AR$4,Escalators!$C$44:$C$49,0),MATCH(AR$5,Escalators!$I$43:$U$43,0))</f>
        <v>0</v>
      </c>
      <c r="AS28" s="47">
        <f t="shared" si="8"/>
        <v>0</v>
      </c>
      <c r="AT28" s="47">
        <f>INDEX(Direct_Cost_Splits_Network,MATCH($H28,RIN_Asset_Cat_Network,0),MATCH($AY$4,Direct_Cost_Type,0))*$M28*INDEX(Act_Type_Augex_Splits,MATCH($I28,Act_Type_Augex,0),MATCH(AT$4,Mat_Type,0))*INDEX(Escalators!$I$44:$U$49,MATCH(AT$4,Escalators!$C$44:$C$49,0),MATCH(AT$5,Escalators!$I$43:$U$43,0))</f>
        <v>0</v>
      </c>
      <c r="AU28" s="47">
        <f>INDEX(Direct_Cost_Splits_Network,MATCH($H28,RIN_Asset_Cat_Network,0),MATCH($AY$4,Direct_Cost_Type,0))*$M28*INDEX(Act_Type_Augex_Splits,MATCH($I28,Act_Type_Augex,0),MATCH(AU$4,Mat_Type,0))*INDEX(Escalators!$I$44:$U$49,MATCH(AU$4,Escalators!$C$44:$C$49,0),MATCH(AU$5,Escalators!$I$43:$U$43,0))</f>
        <v>0</v>
      </c>
      <c r="AV28" s="47">
        <f>INDEX(Direct_Cost_Splits_Network,MATCH($H28,RIN_Asset_Cat_Network,0),MATCH($AY$4,Direct_Cost_Type,0))*$M28*INDEX(Act_Type_Augex_Splits,MATCH($I28,Act_Type_Augex,0),MATCH(AV$4,Mat_Type,0))*INDEX(Escalators!$I$44:$U$49,MATCH(AV$4,Escalators!$C$44:$C$49,0),MATCH(AV$5,Escalators!$I$43:$U$43,0))</f>
        <v>0</v>
      </c>
      <c r="AW28" s="47">
        <f>INDEX(Direct_Cost_Splits_Network,MATCH($H28,RIN_Asset_Cat_Network,0),MATCH($AY$4,Direct_Cost_Type,0))*$M28*INDEX(Act_Type_Augex_Splits,MATCH($I28,Act_Type_Augex,0),MATCH(AW$4,Mat_Type,0))*INDEX(Escalators!$I$44:$U$49,MATCH(AW$4,Escalators!$C$44:$C$49,0),MATCH(AW$5,Escalators!$I$43:$U$43,0))</f>
        <v>0</v>
      </c>
      <c r="AX28" s="47">
        <f>INDEX(Direct_Cost_Splits_Network,MATCH($H28,RIN_Asset_Cat_Network,0),MATCH($AY$4,Direct_Cost_Type,0))*$M28*INDEX(Act_Type_Augex_Splits,MATCH($I28,Act_Type_Augex,0),MATCH(AX$4,Mat_Type,0))*INDEX(Escalators!$I$44:$U$49,MATCH(AX$4,Escalators!$C$44:$C$49,0),MATCH(AX$5,Escalators!$I$43:$U$43,0))</f>
        <v>0</v>
      </c>
      <c r="AY28" s="47">
        <f t="shared" si="9"/>
        <v>0</v>
      </c>
      <c r="AZ28" s="47">
        <f>INDEX(Direct_Cost_Splits_Network,MATCH($H28,RIN_Asset_Cat_Network,0),MATCH($BE$4,Direct_Cost_Type,0))*$N28*INDEX(Act_Type_Augex_Splits,MATCH($I28,Act_Type_Augex,0),MATCH(AZ$4,Mat_Type,0))*INDEX(Escalators!$I$44:$U$49,MATCH(AZ$4,Escalators!$C$44:$C$49,0),MATCH(AZ$5,Escalators!$I$43:$U$43,0))</f>
        <v>37.051043740446602</v>
      </c>
      <c r="BA28" s="47">
        <f>INDEX(Direct_Cost_Splits_Network,MATCH($H28,RIN_Asset_Cat_Network,0),MATCH($BE$4,Direct_Cost_Type,0))*$N28*INDEX(Act_Type_Augex_Splits,MATCH($I28,Act_Type_Augex,0),MATCH(BA$4,Mat_Type,0))*INDEX(Escalators!$I$44:$U$49,MATCH(BA$4,Escalators!$C$44:$C$49,0),MATCH(BA$5,Escalators!$I$43:$U$43,0))</f>
        <v>148.20417496178641</v>
      </c>
      <c r="BB28" s="47">
        <f>INDEX(Direct_Cost_Splits_Network,MATCH($H28,RIN_Asset_Cat_Network,0),MATCH($BE$4,Direct_Cost_Type,0))*$N28*INDEX(Act_Type_Augex_Splits,MATCH($I28,Act_Type_Augex,0),MATCH(BB$4,Mat_Type,0))*INDEX(Escalators!$I$44:$U$49,MATCH(BB$4,Escalators!$C$44:$C$49,0),MATCH(BB$5,Escalators!$I$43:$U$43,0))</f>
        <v>259.35730618312618</v>
      </c>
      <c r="BC28" s="47">
        <f>INDEX(Direct_Cost_Splits_Network,MATCH($H28,RIN_Asset_Cat_Network,0),MATCH($BE$4,Direct_Cost_Type,0))*$N28*INDEX(Act_Type_Augex_Splits,MATCH($I28,Act_Type_Augex,0),MATCH(BC$4,Mat_Type,0))*INDEX(Escalators!$I$44:$U$49,MATCH(BC$4,Escalators!$C$44:$C$49,0),MATCH(BC$5,Escalators!$I$43:$U$43,0))</f>
        <v>37.051043740446602</v>
      </c>
      <c r="BD28" s="47">
        <f>INDEX(Direct_Cost_Splits_Network,MATCH($H28,RIN_Asset_Cat_Network,0),MATCH($BE$4,Direct_Cost_Type,0))*$N28*INDEX(Act_Type_Augex_Splits,MATCH($I28,Act_Type_Augex,0),MATCH(BD$4,Mat_Type,0))*INDEX(Escalators!$I$44:$U$49,MATCH(BD$4,Escalators!$C$44:$C$49,0),MATCH(BD$5,Escalators!$I$43:$U$43,0))</f>
        <v>259.35730618312618</v>
      </c>
      <c r="BE28" s="47">
        <f t="shared" si="10"/>
        <v>741.02087480893204</v>
      </c>
      <c r="BF28" s="47">
        <f>INDEX(Direct_Cost_Splits_Network,MATCH($H28,RIN_Asset_Cat_Network,0),MATCH($BK$4,Direct_Cost_Type,0))*$O28*INDEX(Act_Type_Augex_Splits,MATCH($I28,Act_Type_Augex,0),MATCH(BF$4,Mat_Type,0))*INDEX(Escalators!$I$44:$U$49,MATCH(BF$4,Escalators!$C$44:$C$49,0),MATCH(BF$5,Escalators!$I$43:$U$43,0))</f>
        <v>64.901683795517613</v>
      </c>
      <c r="BG28" s="47">
        <f>INDEX(Direct_Cost_Splits_Network,MATCH($H28,RIN_Asset_Cat_Network,0),MATCH($BK$4,Direct_Cost_Type,0))*$O28*INDEX(Act_Type_Augex_Splits,MATCH($I28,Act_Type_Augex,0),MATCH(BG$4,Mat_Type,0))*INDEX(Escalators!$I$44:$U$49,MATCH(BG$4,Escalators!$C$44:$C$49,0),MATCH(BG$5,Escalators!$I$43:$U$43,0))</f>
        <v>259.60673518207045</v>
      </c>
      <c r="BH28" s="47">
        <f>INDEX(Direct_Cost_Splits_Network,MATCH($H28,RIN_Asset_Cat_Network,0),MATCH($BK$4,Direct_Cost_Type,0))*$O28*INDEX(Act_Type_Augex_Splits,MATCH($I28,Act_Type_Augex,0),MATCH(BH$4,Mat_Type,0))*INDEX(Escalators!$I$44:$U$49,MATCH(BH$4,Escalators!$C$44:$C$49,0),MATCH(BH$5,Escalators!$I$43:$U$43,0))</f>
        <v>454.31178656862323</v>
      </c>
      <c r="BI28" s="47">
        <f>INDEX(Direct_Cost_Splits_Network,MATCH($H28,RIN_Asset_Cat_Network,0),MATCH($BK$4,Direct_Cost_Type,0))*$O28*INDEX(Act_Type_Augex_Splits,MATCH($I28,Act_Type_Augex,0),MATCH(BI$4,Mat_Type,0))*INDEX(Escalators!$I$44:$U$49,MATCH(BI$4,Escalators!$C$44:$C$49,0),MATCH(BI$5,Escalators!$I$43:$U$43,0))</f>
        <v>64.901683795517613</v>
      </c>
      <c r="BJ28" s="47">
        <f>INDEX(Direct_Cost_Splits_Network,MATCH($H28,RIN_Asset_Cat_Network,0),MATCH($BK$4,Direct_Cost_Type,0))*$O28*INDEX(Act_Type_Augex_Splits,MATCH($I28,Act_Type_Augex,0),MATCH(BJ$4,Mat_Type,0))*INDEX(Escalators!$I$44:$U$49,MATCH(BJ$4,Escalators!$C$44:$C$49,0),MATCH(BJ$5,Escalators!$I$43:$U$43,0))</f>
        <v>454.31178656862323</v>
      </c>
      <c r="BK28" s="47">
        <f t="shared" si="11"/>
        <v>1298.033675910352</v>
      </c>
      <c r="BL28" s="47">
        <f>INDEX(Direct_Cost_Splits_Network,MATCH($H28,RIN_Asset_Cat_Network,0),MATCH($BQ$4,Direct_Cost_Type,0))*$P28*INDEX(Act_Type_Augex_Splits,MATCH($I28,Act_Type_Augex,0),MATCH(BL$4,Mat_Type,0))*INDEX(Escalators!$I$44:$U$49,MATCH(BL$4,Escalators!$C$44:$C$49,0),MATCH(BL$5,Escalators!$I$43:$U$43,0))</f>
        <v>92.752323850588652</v>
      </c>
      <c r="BM28" s="47">
        <f>INDEX(Direct_Cost_Splits_Network,MATCH($H28,RIN_Asset_Cat_Network,0),MATCH($BQ$4,Direct_Cost_Type,0))*$P28*INDEX(Act_Type_Augex_Splits,MATCH($I28,Act_Type_Augex,0),MATCH(BM$4,Mat_Type,0))*INDEX(Escalators!$I$44:$U$49,MATCH(BM$4,Escalators!$C$44:$C$49,0),MATCH(BM$5,Escalators!$I$43:$U$43,0))</f>
        <v>371.00929540235461</v>
      </c>
      <c r="BN28" s="47">
        <f>INDEX(Direct_Cost_Splits_Network,MATCH($H28,RIN_Asset_Cat_Network,0),MATCH($BQ$4,Direct_Cost_Type,0))*$P28*INDEX(Act_Type_Augex_Splits,MATCH($I28,Act_Type_Augex,0),MATCH(BN$4,Mat_Type,0))*INDEX(Escalators!$I$44:$U$49,MATCH(BN$4,Escalators!$C$44:$C$49,0),MATCH(BN$5,Escalators!$I$43:$U$43,0))</f>
        <v>649.2662669541204</v>
      </c>
      <c r="BO28" s="47">
        <f>INDEX(Direct_Cost_Splits_Network,MATCH($H28,RIN_Asset_Cat_Network,0),MATCH($BQ$4,Direct_Cost_Type,0))*$P28*INDEX(Act_Type_Augex_Splits,MATCH($I28,Act_Type_Augex,0),MATCH(BO$4,Mat_Type,0))*INDEX(Escalators!$I$44:$U$49,MATCH(BO$4,Escalators!$C$44:$C$49,0),MATCH(BO$5,Escalators!$I$43:$U$43,0))</f>
        <v>92.752323850588652</v>
      </c>
      <c r="BP28" s="47">
        <f>INDEX(Direct_Cost_Splits_Network,MATCH($H28,RIN_Asset_Cat_Network,0),MATCH($BQ$4,Direct_Cost_Type,0))*$P28*INDEX(Act_Type_Augex_Splits,MATCH($I28,Act_Type_Augex,0),MATCH(BP$4,Mat_Type,0))*INDEX(Escalators!$I$44:$U$49,MATCH(BP$4,Escalators!$C$44:$C$49,0),MATCH(BP$5,Escalators!$I$43:$U$43,0))</f>
        <v>649.2662669541204</v>
      </c>
      <c r="BQ28" s="47">
        <f t="shared" si="12"/>
        <v>1855.0464770117728</v>
      </c>
      <c r="BR28" s="47">
        <f>INDEX(Direct_Cost_Splits_Network,MATCH($H28,RIN_Asset_Cat_Network,0),MATCH($BW$4,Direct_Cost_Type,0))*$Q28*INDEX(Act_Type_Augex_Splits,MATCH($I28,Act_Type_Augex,0),MATCH(BR$4,Mat_Type,0))*INDEX(Escalators!$I$44:$U$49,MATCH(BR$4,Escalators!$C$44:$C$49,0),MATCH(BR$5,Escalators!$I$43:$U$43,0))</f>
        <v>101.19182085469129</v>
      </c>
      <c r="BS28" s="47">
        <f>INDEX(Direct_Cost_Splits_Network,MATCH($H28,RIN_Asset_Cat_Network,0),MATCH($BW$4,Direct_Cost_Type,0))*$Q28*INDEX(Act_Type_Augex_Splits,MATCH($I28,Act_Type_Augex,0),MATCH(BS$4,Mat_Type,0))*INDEX(Escalators!$I$44:$U$49,MATCH(BS$4,Escalators!$C$44:$C$49,0),MATCH(BS$5,Escalators!$I$43:$U$43,0))</f>
        <v>404.76728341876515</v>
      </c>
      <c r="BT28" s="47">
        <f>INDEX(Direct_Cost_Splits_Network,MATCH($H28,RIN_Asset_Cat_Network,0),MATCH($BW$4,Direct_Cost_Type,0))*$Q28*INDEX(Act_Type_Augex_Splits,MATCH($I28,Act_Type_Augex,0),MATCH(BT$4,Mat_Type,0))*INDEX(Escalators!$I$44:$U$49,MATCH(BT$4,Escalators!$C$44:$C$49,0),MATCH(BT$5,Escalators!$I$43:$U$43,0))</f>
        <v>708.34274598283889</v>
      </c>
      <c r="BU28" s="47">
        <f>INDEX(Direct_Cost_Splits_Network,MATCH($H28,RIN_Asset_Cat_Network,0),MATCH($BW$4,Direct_Cost_Type,0))*$Q28*INDEX(Act_Type_Augex_Splits,MATCH($I28,Act_Type_Augex,0),MATCH(BU$4,Mat_Type,0))*INDEX(Escalators!$I$44:$U$49,MATCH(BU$4,Escalators!$C$44:$C$49,0),MATCH(BU$5,Escalators!$I$43:$U$43,0))</f>
        <v>101.19182085469129</v>
      </c>
      <c r="BV28" s="47">
        <f>INDEX(Direct_Cost_Splits_Network,MATCH($H28,RIN_Asset_Cat_Network,0),MATCH($BW$4,Direct_Cost_Type,0))*$Q28*INDEX(Act_Type_Augex_Splits,MATCH($I28,Act_Type_Augex,0),MATCH(BV$4,Mat_Type,0))*INDEX(Escalators!$I$44:$U$49,MATCH(BV$4,Escalators!$C$44:$C$49,0),MATCH(BV$5,Escalators!$I$43:$U$43,0))</f>
        <v>708.34274598283889</v>
      </c>
      <c r="BW28" s="47">
        <f t="shared" si="13"/>
        <v>2023.8364170938257</v>
      </c>
      <c r="BY28" s="47">
        <f>INDEX(Direct_Cost_Splits_Network,MATCH($H28,RIN_Asset_Cat_Network,0),MATCH($BY$4,Direct_Cost_Type,0))*J28*HLOOKUP(BY$5,Escalators!$I$25:$U$30,6,FALSE)</f>
        <v>0</v>
      </c>
      <c r="BZ28" s="47">
        <f>INDEX(Direct_Cost_Splits_Network,MATCH($H28,RIN_Asset_Cat_Network,0),MATCH($BY$4,Direct_Cost_Type,0))*K28*HLOOKUP(BZ$5,Escalators!$I$25:$U$30,6,FALSE)</f>
        <v>0</v>
      </c>
      <c r="CA28" s="47">
        <f>INDEX(Direct_Cost_Splits_Network,MATCH($H28,RIN_Asset_Cat_Network,0),MATCH($BY$4,Direct_Cost_Type,0))*L28*HLOOKUP(CA$5,Escalators!$I$25:$U$30,6,FALSE)</f>
        <v>0</v>
      </c>
      <c r="CB28" s="47">
        <f>INDEX(Direct_Cost_Splits_Network,MATCH($H28,RIN_Asset_Cat_Network,0),MATCH($BY$4,Direct_Cost_Type,0))*M28*HLOOKUP(CB$5,Escalators!$I$25:$U$30,6,FALSE)</f>
        <v>0</v>
      </c>
      <c r="CC28" s="47">
        <f>INDEX(Direct_Cost_Splits_Network,MATCH($H28,RIN_Asset_Cat_Network,0),MATCH($BY$4,Direct_Cost_Type,0))*N28*HLOOKUP(CC$5,Escalators!$I$25:$U$30,6,FALSE)</f>
        <v>1053.5222886814915</v>
      </c>
      <c r="CD28" s="47">
        <f>INDEX(Direct_Cost_Splits_Network,MATCH($H28,RIN_Asset_Cat_Network,0),MATCH($BY$4,Direct_Cost_Type,0))*O28*HLOOKUP(CD$5,Escalators!$I$25:$U$30,6,FALSE)</f>
        <v>1865.3011655031835</v>
      </c>
      <c r="CE28" s="47">
        <f>INDEX(Direct_Cost_Splits_Network,MATCH($H28,RIN_Asset_Cat_Network,0),MATCH($BY$4,Direct_Cost_Type,0))*P28*HLOOKUP(CE$5,Escalators!$I$25:$U$30,6,FALSE)</f>
        <v>2690.9453128782607</v>
      </c>
      <c r="CF28" s="47">
        <f>INDEX(Direct_Cost_Splits_Network,MATCH($H28,RIN_Asset_Cat_Network,0),MATCH($BY$4,Direct_Cost_Type,0))*Q28*HLOOKUP(CF$5,Escalators!$I$25:$U$30,6,FALSE)</f>
        <v>2961.6283366238654</v>
      </c>
      <c r="CH28" s="47">
        <f t="shared" si="26"/>
        <v>0</v>
      </c>
      <c r="CI28" s="47">
        <f t="shared" si="27"/>
        <v>0</v>
      </c>
      <c r="CJ28" s="47">
        <f t="shared" si="28"/>
        <v>0</v>
      </c>
      <c r="CK28" s="47">
        <f t="shared" si="29"/>
        <v>0</v>
      </c>
      <c r="CL28" s="47">
        <f t="shared" si="30"/>
        <v>277.34446491315322</v>
      </c>
      <c r="CM28" s="47">
        <f t="shared" si="31"/>
        <v>485.819586900888</v>
      </c>
      <c r="CN28" s="47">
        <f t="shared" si="32"/>
        <v>694.29470888862284</v>
      </c>
      <c r="CO28" s="47">
        <f t="shared" si="33"/>
        <v>757.46830791422451</v>
      </c>
      <c r="CQ28" s="373">
        <f t="shared" si="15"/>
        <v>0</v>
      </c>
      <c r="CR28" s="47">
        <f t="shared" si="16"/>
        <v>0</v>
      </c>
      <c r="CS28" s="47">
        <f t="shared" si="17"/>
        <v>0</v>
      </c>
      <c r="CT28" s="47">
        <f t="shared" si="18"/>
        <v>0</v>
      </c>
      <c r="CU28" s="47">
        <f t="shared" si="19"/>
        <v>2459.7690554802957</v>
      </c>
      <c r="CV28" s="47">
        <f t="shared" si="20"/>
        <v>4335.913204826631</v>
      </c>
      <c r="CW28" s="47">
        <f t="shared" si="21"/>
        <v>6231.0274820101813</v>
      </c>
      <c r="CX28" s="47">
        <f t="shared" si="22"/>
        <v>6833.3329876915859</v>
      </c>
      <c r="CZ28" s="39"/>
    </row>
    <row r="29" spans="2:104" x14ac:dyDescent="0.3">
      <c r="B29" s="7" t="s">
        <v>651</v>
      </c>
      <c r="C29" s="7" t="s">
        <v>555</v>
      </c>
      <c r="D29" s="7" t="s">
        <v>425</v>
      </c>
      <c r="E29" s="7" t="s">
        <v>397</v>
      </c>
      <c r="F29" s="7" t="s">
        <v>55</v>
      </c>
      <c r="G29" s="7" t="s">
        <v>34</v>
      </c>
      <c r="H29" s="7" t="s">
        <v>154</v>
      </c>
      <c r="I29" s="7" t="s">
        <v>213</v>
      </c>
      <c r="J29" s="45"/>
      <c r="K29" s="45"/>
      <c r="L29" s="45"/>
      <c r="M29" s="45">
        <v>0</v>
      </c>
      <c r="N29" s="45">
        <v>324.62102565857492</v>
      </c>
      <c r="O29" s="45">
        <v>584.31784618543486</v>
      </c>
      <c r="P29" s="45">
        <v>844.0146667122948</v>
      </c>
      <c r="Q29" s="45">
        <v>911.04241609027724</v>
      </c>
      <c r="S29" s="47">
        <f>INDEX(Direct_Cost_Splits_Network,MATCH($H29,RIN_Asset_Cat_Network,0),MATCH($S$4,Direct_Cost_Type,0))*J29*HLOOKUP(S$5,Escalators!$I$25:$U$30,3,FALSE)</f>
        <v>0</v>
      </c>
      <c r="T29" s="47">
        <f>INDEX(Direct_Cost_Splits_Network,MATCH($H29,RIN_Asset_Cat_Network,0),MATCH($S$4,Direct_Cost_Type,0))*K29*HLOOKUP(T$5,Escalators!$I$25:$U$30,3,FALSE)</f>
        <v>0</v>
      </c>
      <c r="U29" s="47">
        <f>INDEX(Direct_Cost_Splits_Network,MATCH($H29,RIN_Asset_Cat_Network,0),MATCH($S$4,Direct_Cost_Type,0))*L29*HLOOKUP(U$5,Escalators!$I$25:$U$30,3,FALSE)</f>
        <v>0</v>
      </c>
      <c r="V29" s="47">
        <f>INDEX(Direct_Cost_Splits_Network,MATCH($H29,RIN_Asset_Cat_Network,0),MATCH($S$4,Direct_Cost_Type,0))*M29*HLOOKUP(V$5,Escalators!$I$25:$U$30,3,FALSE)</f>
        <v>0</v>
      </c>
      <c r="W29" s="47">
        <f>INDEX(Direct_Cost_Splits_Network,MATCH($H29,RIN_Asset_Cat_Network,0),MATCH($S$4,Direct_Cost_Type,0))*N29*HLOOKUP(W$5,Escalators!$I$25:$U$30,3,FALSE)</f>
        <v>52.474624257313465</v>
      </c>
      <c r="X29" s="47">
        <f>INDEX(Direct_Cost_Splits_Network,MATCH($H29,RIN_Asset_Cat_Network,0),MATCH($S$4,Direct_Cost_Type,0))*O29*HLOOKUP(X$5,Escalators!$I$25:$U$30,3,FALSE)</f>
        <v>95.4710191356547</v>
      </c>
      <c r="Y29" s="47">
        <f>INDEX(Direct_Cost_Splits_Network,MATCH($H29,RIN_Asset_Cat_Network,0),MATCH($S$4,Direct_Cost_Type,0))*P29*HLOOKUP(Y$5,Escalators!$I$25:$U$30,3,FALSE)</f>
        <v>139.20648787098258</v>
      </c>
      <c r="Z29" s="47">
        <f>INDEX(Direct_Cost_Splits_Network,MATCH($H29,RIN_Asset_Cat_Network,0),MATCH($S$4,Direct_Cost_Type,0))*Q29*HLOOKUP(Z$5,Escalators!$I$25:$U$30,3,FALSE)</f>
        <v>151.58392694310018</v>
      </c>
      <c r="AB29" s="6">
        <f>INDEX(Direct_Cost_Splits_Network,MATCH($H29,RIN_Asset_Cat_Network,0),MATCH($AG$4,Direct_Cost_Type,0))*$J29*INDEX(Act_Type_Augex_Splits,MATCH($I29,Act_Type_Augex,0),MATCH(AB$4,Mat_Type,0))*INDEX(Escalators!$I$44:$U$49,MATCH(AB$4,Escalators!$C$44:$C$49,0),MATCH(AB$5,Escalators!$I$43:$U$43,0))</f>
        <v>0</v>
      </c>
      <c r="AC29" s="6">
        <f>INDEX(Direct_Cost_Splits_Network,MATCH($H29,RIN_Asset_Cat_Network,0),MATCH($AG$4,Direct_Cost_Type,0))*$J29*INDEX(Act_Type_Augex_Splits,MATCH($I29,Act_Type_Augex,0),MATCH(AC$4,Mat_Type,0))*INDEX(Escalators!$I$44:$U$49,MATCH(AC$4,Escalators!$C$44:$C$49,0),MATCH(AC$5,Escalators!$I$43:$U$43,0))</f>
        <v>0</v>
      </c>
      <c r="AD29" s="6">
        <f>INDEX(Direct_Cost_Splits_Network,MATCH($H29,RIN_Asset_Cat_Network,0),MATCH($AG$4,Direct_Cost_Type,0))*$J29*INDEX(Act_Type_Augex_Splits,MATCH($I29,Act_Type_Augex,0),MATCH(AD$4,Mat_Type,0))*INDEX(Escalators!$I$44:$U$49,MATCH(AD$4,Escalators!$C$44:$C$49,0),MATCH(AD$5,Escalators!$I$43:$U$43,0))</f>
        <v>0</v>
      </c>
      <c r="AE29" s="6">
        <f>INDEX(Direct_Cost_Splits_Network,MATCH($H29,RIN_Asset_Cat_Network,0),MATCH($AG$4,Direct_Cost_Type,0))*$J29*INDEX(Act_Type_Augex_Splits,MATCH($I29,Act_Type_Augex,0),MATCH(AE$4,Mat_Type,0))*INDEX(Escalators!$I$44:$U$49,MATCH(AE$4,Escalators!$C$44:$C$49,0),MATCH(AE$5,Escalators!$I$43:$U$43,0))</f>
        <v>0</v>
      </c>
      <c r="AF29" s="6">
        <f>INDEX(Direct_Cost_Splits_Network,MATCH($H29,RIN_Asset_Cat_Network,0),MATCH($AG$4,Direct_Cost_Type,0))*$J29*INDEX(Act_Type_Augex_Splits,MATCH($I29,Act_Type_Augex,0),MATCH(AF$4,Mat_Type,0))*INDEX(Escalators!$I$44:$U$49,MATCH(AF$4,Escalators!$C$44:$C$49,0),MATCH(AF$5,Escalators!$I$43:$U$43,0))</f>
        <v>0</v>
      </c>
      <c r="AG29" s="47">
        <f t="shared" si="23"/>
        <v>0</v>
      </c>
      <c r="AH29" s="47">
        <f>INDEX(Direct_Cost_Splits_Network,MATCH($H29,RIN_Asset_Cat_Network,0),MATCH($AY$4,Direct_Cost_Type,0))*$K29*INDEX(Act_Type_Augex_Splits,MATCH($I29,Act_Type_Augex,0),MATCH(AH$4,Mat_Type,0))*INDEX(Escalators!$I$44:$U$49,MATCH(AH$4,Escalators!$C$44:$C$49,0),MATCH(AH$5,Escalators!$I$43:$U$43,0))</f>
        <v>0</v>
      </c>
      <c r="AI29" s="47">
        <f>INDEX(Direct_Cost_Splits_Network,MATCH($H29,RIN_Asset_Cat_Network,0),MATCH($AY$4,Direct_Cost_Type,0))*$K29*INDEX(Act_Type_Augex_Splits,MATCH($I29,Act_Type_Augex,0),MATCH(AI$4,Mat_Type,0))*INDEX(Escalators!$I$44:$U$49,MATCH(AI$4,Escalators!$C$44:$C$49,0),MATCH(AI$5,Escalators!$I$43:$U$43,0))</f>
        <v>0</v>
      </c>
      <c r="AJ29" s="47">
        <f>INDEX(Direct_Cost_Splits_Network,MATCH($H29,RIN_Asset_Cat_Network,0),MATCH($AY$4,Direct_Cost_Type,0))*$K29*INDEX(Act_Type_Augex_Splits,MATCH($I29,Act_Type_Augex,0),MATCH(AJ$4,Mat_Type,0))*INDEX(Escalators!$I$44:$U$49,MATCH(AJ$4,Escalators!$C$44:$C$49,0),MATCH(AJ$5,Escalators!$I$43:$U$43,0))</f>
        <v>0</v>
      </c>
      <c r="AK29" s="47">
        <f>INDEX(Direct_Cost_Splits_Network,MATCH($H29,RIN_Asset_Cat_Network,0),MATCH($AY$4,Direct_Cost_Type,0))*$K29*INDEX(Act_Type_Augex_Splits,MATCH($I29,Act_Type_Augex,0),MATCH(AK$4,Mat_Type,0))*INDEX(Escalators!$I$44:$U$49,MATCH(AK$4,Escalators!$C$44:$C$49,0),MATCH(AK$5,Escalators!$I$43:$U$43,0))</f>
        <v>0</v>
      </c>
      <c r="AL29" s="47">
        <f>INDEX(Direct_Cost_Splits_Network,MATCH($H29,RIN_Asset_Cat_Network,0),MATCH($AY$4,Direct_Cost_Type,0))*$K29*INDEX(Act_Type_Augex_Splits,MATCH($I29,Act_Type_Augex,0),MATCH(AL$4,Mat_Type,0))*INDEX(Escalators!$I$44:$U$49,MATCH(AL$4,Escalators!$C$44:$C$49,0),MATCH(AL$5,Escalators!$I$43:$U$43,0))</f>
        <v>0</v>
      </c>
      <c r="AM29" s="47">
        <f t="shared" si="24"/>
        <v>0</v>
      </c>
      <c r="AN29" s="47">
        <f>INDEX(Direct_Cost_Splits_Network,MATCH($H29,RIN_Asset_Cat_Network,0),MATCH($AY$4,Direct_Cost_Type,0))*$L29*INDEX(Act_Type_Augex_Splits,MATCH($I29,Act_Type_Augex,0),MATCH(AN$4,Mat_Type,0))*INDEX(Escalators!$I$44:$U$49,MATCH(AN$4,Escalators!$C$44:$C$49,0),MATCH(AN$5,Escalators!$I$43:$U$43,0))</f>
        <v>0</v>
      </c>
      <c r="AO29" s="47">
        <f>INDEX(Direct_Cost_Splits_Network,MATCH($H29,RIN_Asset_Cat_Network,0),MATCH($AY$4,Direct_Cost_Type,0))*$L29*INDEX(Act_Type_Augex_Splits,MATCH($I29,Act_Type_Augex,0),MATCH(AO$4,Mat_Type,0))*INDEX(Escalators!$I$44:$U$49,MATCH(AO$4,Escalators!$C$44:$C$49,0),MATCH(AO$5,Escalators!$I$43:$U$43,0))</f>
        <v>0</v>
      </c>
      <c r="AP29" s="47">
        <f>INDEX(Direct_Cost_Splits_Network,MATCH($H29,RIN_Asset_Cat_Network,0),MATCH($AY$4,Direct_Cost_Type,0))*$L29*INDEX(Act_Type_Augex_Splits,MATCH($I29,Act_Type_Augex,0),MATCH(AP$4,Mat_Type,0))*INDEX(Escalators!$I$44:$U$49,MATCH(AP$4,Escalators!$C$44:$C$49,0),MATCH(AP$5,Escalators!$I$43:$U$43,0))</f>
        <v>0</v>
      </c>
      <c r="AQ29" s="47">
        <f>INDEX(Direct_Cost_Splits_Network,MATCH($H29,RIN_Asset_Cat_Network,0),MATCH($AY$4,Direct_Cost_Type,0))*$L29*INDEX(Act_Type_Augex_Splits,MATCH($I29,Act_Type_Augex,0),MATCH(AQ$4,Mat_Type,0))*INDEX(Escalators!$I$44:$U$49,MATCH(AQ$4,Escalators!$C$44:$C$49,0),MATCH(AQ$5,Escalators!$I$43:$U$43,0))</f>
        <v>0</v>
      </c>
      <c r="AR29" s="47">
        <f>INDEX(Direct_Cost_Splits_Network,MATCH($H29,RIN_Asset_Cat_Network,0),MATCH($AY$4,Direct_Cost_Type,0))*$L29*INDEX(Act_Type_Augex_Splits,MATCH($I29,Act_Type_Augex,0),MATCH(AR$4,Mat_Type,0))*INDEX(Escalators!$I$44:$U$49,MATCH(AR$4,Escalators!$C$44:$C$49,0),MATCH(AR$5,Escalators!$I$43:$U$43,0))</f>
        <v>0</v>
      </c>
      <c r="AS29" s="47">
        <f t="shared" si="8"/>
        <v>0</v>
      </c>
      <c r="AT29" s="47">
        <f>INDEX(Direct_Cost_Splits_Network,MATCH($H29,RIN_Asset_Cat_Network,0),MATCH($AY$4,Direct_Cost_Type,0))*$M29*INDEX(Act_Type_Augex_Splits,MATCH($I29,Act_Type_Augex,0),MATCH(AT$4,Mat_Type,0))*INDEX(Escalators!$I$44:$U$49,MATCH(AT$4,Escalators!$C$44:$C$49,0),MATCH(AT$5,Escalators!$I$43:$U$43,0))</f>
        <v>0</v>
      </c>
      <c r="AU29" s="47">
        <f>INDEX(Direct_Cost_Splits_Network,MATCH($H29,RIN_Asset_Cat_Network,0),MATCH($AY$4,Direct_Cost_Type,0))*$M29*INDEX(Act_Type_Augex_Splits,MATCH($I29,Act_Type_Augex,0),MATCH(AU$4,Mat_Type,0))*INDEX(Escalators!$I$44:$U$49,MATCH(AU$4,Escalators!$C$44:$C$49,0),MATCH(AU$5,Escalators!$I$43:$U$43,0))</f>
        <v>0</v>
      </c>
      <c r="AV29" s="47">
        <f>INDEX(Direct_Cost_Splits_Network,MATCH($H29,RIN_Asset_Cat_Network,0),MATCH($AY$4,Direct_Cost_Type,0))*$M29*INDEX(Act_Type_Augex_Splits,MATCH($I29,Act_Type_Augex,0),MATCH(AV$4,Mat_Type,0))*INDEX(Escalators!$I$44:$U$49,MATCH(AV$4,Escalators!$C$44:$C$49,0),MATCH(AV$5,Escalators!$I$43:$U$43,0))</f>
        <v>0</v>
      </c>
      <c r="AW29" s="47">
        <f>INDEX(Direct_Cost_Splits_Network,MATCH($H29,RIN_Asset_Cat_Network,0),MATCH($AY$4,Direct_Cost_Type,0))*$M29*INDEX(Act_Type_Augex_Splits,MATCH($I29,Act_Type_Augex,0),MATCH(AW$4,Mat_Type,0))*INDEX(Escalators!$I$44:$U$49,MATCH(AW$4,Escalators!$C$44:$C$49,0),MATCH(AW$5,Escalators!$I$43:$U$43,0))</f>
        <v>0</v>
      </c>
      <c r="AX29" s="47">
        <f>INDEX(Direct_Cost_Splits_Network,MATCH($H29,RIN_Asset_Cat_Network,0),MATCH($AY$4,Direct_Cost_Type,0))*$M29*INDEX(Act_Type_Augex_Splits,MATCH($I29,Act_Type_Augex,0),MATCH(AX$4,Mat_Type,0))*INDEX(Escalators!$I$44:$U$49,MATCH(AX$4,Escalators!$C$44:$C$49,0),MATCH(AX$5,Escalators!$I$43:$U$43,0))</f>
        <v>0</v>
      </c>
      <c r="AY29" s="47">
        <f t="shared" si="9"/>
        <v>0</v>
      </c>
      <c r="AZ29" s="47">
        <f>INDEX(Direct_Cost_Splits_Network,MATCH($H29,RIN_Asset_Cat_Network,0),MATCH($BE$4,Direct_Cost_Type,0))*$N29*INDEX(Act_Type_Augex_Splits,MATCH($I29,Act_Type_Augex,0),MATCH(AZ$4,Mat_Type,0))*INDEX(Escalators!$I$44:$U$49,MATCH(AZ$4,Escalators!$C$44:$C$49,0),MATCH(AZ$5,Escalators!$I$43:$U$43,0))</f>
        <v>5.0124586095138604</v>
      </c>
      <c r="BA29" s="47">
        <f>INDEX(Direct_Cost_Splits_Network,MATCH($H29,RIN_Asset_Cat_Network,0),MATCH($BE$4,Direct_Cost_Type,0))*$N29*INDEX(Act_Type_Augex_Splits,MATCH($I29,Act_Type_Augex,0),MATCH(BA$4,Mat_Type,0))*INDEX(Escalators!$I$44:$U$49,MATCH(BA$4,Escalators!$C$44:$C$49,0),MATCH(BA$5,Escalators!$I$43:$U$43,0))</f>
        <v>15.037375828541578</v>
      </c>
      <c r="BB29" s="47">
        <f>INDEX(Direct_Cost_Splits_Network,MATCH($H29,RIN_Asset_Cat_Network,0),MATCH($BE$4,Direct_Cost_Type,0))*$N29*INDEX(Act_Type_Augex_Splits,MATCH($I29,Act_Type_Augex,0),MATCH(BB$4,Mat_Type,0))*INDEX(Escalators!$I$44:$U$49,MATCH(BB$4,Escalators!$C$44:$C$49,0),MATCH(BB$5,Escalators!$I$43:$U$43,0))</f>
        <v>40.099668876110883</v>
      </c>
      <c r="BC29" s="47">
        <f>INDEX(Direct_Cost_Splits_Network,MATCH($H29,RIN_Asset_Cat_Network,0),MATCH($BE$4,Direct_Cost_Type,0))*$N29*INDEX(Act_Type_Augex_Splits,MATCH($I29,Act_Type_Augex,0),MATCH(BC$4,Mat_Type,0))*INDEX(Escalators!$I$44:$U$49,MATCH(BC$4,Escalators!$C$44:$C$49,0),MATCH(BC$5,Escalators!$I$43:$U$43,0))</f>
        <v>5.0124586095138604</v>
      </c>
      <c r="BD29" s="47">
        <f>INDEX(Direct_Cost_Splits_Network,MATCH($H29,RIN_Asset_Cat_Network,0),MATCH($BE$4,Direct_Cost_Type,0))*$N29*INDEX(Act_Type_Augex_Splits,MATCH($I29,Act_Type_Augex,0),MATCH(BD$4,Mat_Type,0))*INDEX(Escalators!$I$44:$U$49,MATCH(BD$4,Escalators!$C$44:$C$49,0),MATCH(BD$5,Escalators!$I$43:$U$43,0))</f>
        <v>35.087210266597012</v>
      </c>
      <c r="BE29" s="47">
        <f t="shared" si="10"/>
        <v>100.24917219027719</v>
      </c>
      <c r="BF29" s="47">
        <f>INDEX(Direct_Cost_Splits_Network,MATCH($H29,RIN_Asset_Cat_Network,0),MATCH($BK$4,Direct_Cost_Type,0))*$O29*INDEX(Act_Type_Augex_Splits,MATCH($I29,Act_Type_Augex,0),MATCH(BF$4,Mat_Type,0))*INDEX(Escalators!$I$44:$U$49,MATCH(BF$4,Escalators!$C$44:$C$49,0),MATCH(BF$5,Escalators!$I$43:$U$43,0))</f>
        <v>9.0224254971249476</v>
      </c>
      <c r="BG29" s="47">
        <f>INDEX(Direct_Cost_Splits_Network,MATCH($H29,RIN_Asset_Cat_Network,0),MATCH($BK$4,Direct_Cost_Type,0))*$O29*INDEX(Act_Type_Augex_Splits,MATCH($I29,Act_Type_Augex,0),MATCH(BG$4,Mat_Type,0))*INDEX(Escalators!$I$44:$U$49,MATCH(BG$4,Escalators!$C$44:$C$49,0),MATCH(BG$5,Escalators!$I$43:$U$43,0))</f>
        <v>27.067276491374844</v>
      </c>
      <c r="BH29" s="47">
        <f>INDEX(Direct_Cost_Splits_Network,MATCH($H29,RIN_Asset_Cat_Network,0),MATCH($BK$4,Direct_Cost_Type,0))*$O29*INDEX(Act_Type_Augex_Splits,MATCH($I29,Act_Type_Augex,0),MATCH(BH$4,Mat_Type,0))*INDEX(Escalators!$I$44:$U$49,MATCH(BH$4,Escalators!$C$44:$C$49,0),MATCH(BH$5,Escalators!$I$43:$U$43,0))</f>
        <v>72.179403976999581</v>
      </c>
      <c r="BI29" s="47">
        <f>INDEX(Direct_Cost_Splits_Network,MATCH($H29,RIN_Asset_Cat_Network,0),MATCH($BK$4,Direct_Cost_Type,0))*$O29*INDEX(Act_Type_Augex_Splits,MATCH($I29,Act_Type_Augex,0),MATCH(BI$4,Mat_Type,0))*INDEX(Escalators!$I$44:$U$49,MATCH(BI$4,Escalators!$C$44:$C$49,0),MATCH(BI$5,Escalators!$I$43:$U$43,0))</f>
        <v>9.0224254971249476</v>
      </c>
      <c r="BJ29" s="47">
        <f>INDEX(Direct_Cost_Splits_Network,MATCH($H29,RIN_Asset_Cat_Network,0),MATCH($BK$4,Direct_Cost_Type,0))*$O29*INDEX(Act_Type_Augex_Splits,MATCH($I29,Act_Type_Augex,0),MATCH(BJ$4,Mat_Type,0))*INDEX(Escalators!$I$44:$U$49,MATCH(BJ$4,Escalators!$C$44:$C$49,0),MATCH(BJ$5,Escalators!$I$43:$U$43,0))</f>
        <v>63.156978479874631</v>
      </c>
      <c r="BK29" s="47">
        <f t="shared" si="11"/>
        <v>180.44850994249893</v>
      </c>
      <c r="BL29" s="47">
        <f>INDEX(Direct_Cost_Splits_Network,MATCH($H29,RIN_Asset_Cat_Network,0),MATCH($BQ$4,Direct_Cost_Type,0))*$P29*INDEX(Act_Type_Augex_Splits,MATCH($I29,Act_Type_Augex,0),MATCH(BL$4,Mat_Type,0))*INDEX(Escalators!$I$44:$U$49,MATCH(BL$4,Escalators!$C$44:$C$49,0),MATCH(BL$5,Escalators!$I$43:$U$43,0))</f>
        <v>13.032392384736037</v>
      </c>
      <c r="BM29" s="47">
        <f>INDEX(Direct_Cost_Splits_Network,MATCH($H29,RIN_Asset_Cat_Network,0),MATCH($BQ$4,Direct_Cost_Type,0))*$P29*INDEX(Act_Type_Augex_Splits,MATCH($I29,Act_Type_Augex,0),MATCH(BM$4,Mat_Type,0))*INDEX(Escalators!$I$44:$U$49,MATCH(BM$4,Escalators!$C$44:$C$49,0),MATCH(BM$5,Escalators!$I$43:$U$43,0))</f>
        <v>39.097177154208104</v>
      </c>
      <c r="BN29" s="47">
        <f>INDEX(Direct_Cost_Splits_Network,MATCH($H29,RIN_Asset_Cat_Network,0),MATCH($BQ$4,Direct_Cost_Type,0))*$P29*INDEX(Act_Type_Augex_Splits,MATCH($I29,Act_Type_Augex,0),MATCH(BN$4,Mat_Type,0))*INDEX(Escalators!$I$44:$U$49,MATCH(BN$4,Escalators!$C$44:$C$49,0),MATCH(BN$5,Escalators!$I$43:$U$43,0))</f>
        <v>104.25913907788829</v>
      </c>
      <c r="BO29" s="47">
        <f>INDEX(Direct_Cost_Splits_Network,MATCH($H29,RIN_Asset_Cat_Network,0),MATCH($BQ$4,Direct_Cost_Type,0))*$P29*INDEX(Act_Type_Augex_Splits,MATCH($I29,Act_Type_Augex,0),MATCH(BO$4,Mat_Type,0))*INDEX(Escalators!$I$44:$U$49,MATCH(BO$4,Escalators!$C$44:$C$49,0),MATCH(BO$5,Escalators!$I$43:$U$43,0))</f>
        <v>13.032392384736037</v>
      </c>
      <c r="BP29" s="47">
        <f>INDEX(Direct_Cost_Splits_Network,MATCH($H29,RIN_Asset_Cat_Network,0),MATCH($BQ$4,Direct_Cost_Type,0))*$P29*INDEX(Act_Type_Augex_Splits,MATCH($I29,Act_Type_Augex,0),MATCH(BP$4,Mat_Type,0))*INDEX(Escalators!$I$44:$U$49,MATCH(BP$4,Escalators!$C$44:$C$49,0),MATCH(BP$5,Escalators!$I$43:$U$43,0))</f>
        <v>91.226746693152251</v>
      </c>
      <c r="BQ29" s="47">
        <f t="shared" si="12"/>
        <v>260.64784769472072</v>
      </c>
      <c r="BR29" s="47">
        <f>INDEX(Direct_Cost_Splits_Network,MATCH($H29,RIN_Asset_Cat_Network,0),MATCH($BW$4,Direct_Cost_Type,0))*$Q29*INDEX(Act_Type_Augex_Splits,MATCH($I29,Act_Type_Augex,0),MATCH(BR$4,Mat_Type,0))*INDEX(Escalators!$I$44:$U$49,MATCH(BR$4,Escalators!$C$44:$C$49,0),MATCH(BR$5,Escalators!$I$43:$U$43,0))</f>
        <v>14.067364838428455</v>
      </c>
      <c r="BS29" s="47">
        <f>INDEX(Direct_Cost_Splits_Network,MATCH($H29,RIN_Asset_Cat_Network,0),MATCH($BW$4,Direct_Cost_Type,0))*$Q29*INDEX(Act_Type_Augex_Splits,MATCH($I29,Act_Type_Augex,0),MATCH(BS$4,Mat_Type,0))*INDEX(Escalators!$I$44:$U$49,MATCH(BS$4,Escalators!$C$44:$C$49,0),MATCH(BS$5,Escalators!$I$43:$U$43,0))</f>
        <v>42.20209451528536</v>
      </c>
      <c r="BT29" s="47">
        <f>INDEX(Direct_Cost_Splits_Network,MATCH($H29,RIN_Asset_Cat_Network,0),MATCH($BW$4,Direct_Cost_Type,0))*$Q29*INDEX(Act_Type_Augex_Splits,MATCH($I29,Act_Type_Augex,0),MATCH(BT$4,Mat_Type,0))*INDEX(Escalators!$I$44:$U$49,MATCH(BT$4,Escalators!$C$44:$C$49,0),MATCH(BT$5,Escalators!$I$43:$U$43,0))</f>
        <v>112.53891870742764</v>
      </c>
      <c r="BU29" s="47">
        <f>INDEX(Direct_Cost_Splits_Network,MATCH($H29,RIN_Asset_Cat_Network,0),MATCH($BW$4,Direct_Cost_Type,0))*$Q29*INDEX(Act_Type_Augex_Splits,MATCH($I29,Act_Type_Augex,0),MATCH(BU$4,Mat_Type,0))*INDEX(Escalators!$I$44:$U$49,MATCH(BU$4,Escalators!$C$44:$C$49,0),MATCH(BU$5,Escalators!$I$43:$U$43,0))</f>
        <v>14.067364838428455</v>
      </c>
      <c r="BV29" s="47">
        <f>INDEX(Direct_Cost_Splits_Network,MATCH($H29,RIN_Asset_Cat_Network,0),MATCH($BW$4,Direct_Cost_Type,0))*$Q29*INDEX(Act_Type_Augex_Splits,MATCH($I29,Act_Type_Augex,0),MATCH(BV$4,Mat_Type,0))*INDEX(Escalators!$I$44:$U$49,MATCH(BV$4,Escalators!$C$44:$C$49,0),MATCH(BV$5,Escalators!$I$43:$U$43,0))</f>
        <v>98.47155386899918</v>
      </c>
      <c r="BW29" s="47">
        <f t="shared" si="13"/>
        <v>281.34729676856909</v>
      </c>
      <c r="BY29" s="47">
        <f>INDEX(Direct_Cost_Splits_Network,MATCH($H29,RIN_Asset_Cat_Network,0),MATCH($BY$4,Direct_Cost_Type,0))*J29*HLOOKUP(BY$5,Escalators!$I$25:$U$30,6,FALSE)</f>
        <v>0</v>
      </c>
      <c r="BZ29" s="47">
        <f>INDEX(Direct_Cost_Splits_Network,MATCH($H29,RIN_Asset_Cat_Network,0),MATCH($BY$4,Direct_Cost_Type,0))*K29*HLOOKUP(BZ$5,Escalators!$I$25:$U$30,6,FALSE)</f>
        <v>0</v>
      </c>
      <c r="CA29" s="47">
        <f>INDEX(Direct_Cost_Splits_Network,MATCH($H29,RIN_Asset_Cat_Network,0),MATCH($BY$4,Direct_Cost_Type,0))*L29*HLOOKUP(CA$5,Escalators!$I$25:$U$30,6,FALSE)</f>
        <v>0</v>
      </c>
      <c r="CB29" s="47">
        <f>INDEX(Direct_Cost_Splits_Network,MATCH($H29,RIN_Asset_Cat_Network,0),MATCH($BY$4,Direct_Cost_Type,0))*M29*HLOOKUP(CB$5,Escalators!$I$25:$U$30,6,FALSE)</f>
        <v>0</v>
      </c>
      <c r="CC29" s="47">
        <f>INDEX(Direct_Cost_Splits_Network,MATCH($H29,RIN_Asset_Cat_Network,0),MATCH($BY$4,Direct_Cost_Type,0))*N29*HLOOKUP(CC$5,Escalators!$I$25:$U$30,6,FALSE)</f>
        <v>142.52599476574517</v>
      </c>
      <c r="CD29" s="47">
        <f>INDEX(Direct_Cost_Splits_Network,MATCH($H29,RIN_Asset_Cat_Network,0),MATCH($BY$4,Direct_Cost_Type,0))*O29*HLOOKUP(CD$5,Escalators!$I$25:$U$30,6,FALSE)</f>
        <v>259.30823071519637</v>
      </c>
      <c r="CE29" s="47">
        <f>INDEX(Direct_Cost_Splits_Network,MATCH($H29,RIN_Asset_Cat_Network,0),MATCH($BY$4,Direct_Cost_Type,0))*P29*HLOOKUP(CE$5,Escalators!$I$25:$U$30,6,FALSE)</f>
        <v>378.09786048905772</v>
      </c>
      <c r="CF29" s="47">
        <f>INDEX(Direct_Cost_Splits_Network,MATCH($H29,RIN_Asset_Cat_Network,0),MATCH($BY$4,Direct_Cost_Type,0))*Q29*HLOOKUP(CF$5,Escalators!$I$25:$U$30,6,FALSE)</f>
        <v>411.71614440006823</v>
      </c>
      <c r="CH29" s="47">
        <f t="shared" si="26"/>
        <v>0</v>
      </c>
      <c r="CI29" s="47">
        <f t="shared" si="27"/>
        <v>0</v>
      </c>
      <c r="CJ29" s="47">
        <f t="shared" si="28"/>
        <v>0</v>
      </c>
      <c r="CK29" s="47">
        <f t="shared" si="29"/>
        <v>0</v>
      </c>
      <c r="CL29" s="47">
        <f t="shared" si="30"/>
        <v>37.520606995407476</v>
      </c>
      <c r="CM29" s="47">
        <f t="shared" si="31"/>
        <v>67.537092591733455</v>
      </c>
      <c r="CN29" s="47">
        <f t="shared" si="32"/>
        <v>97.553578188059433</v>
      </c>
      <c r="CO29" s="47">
        <f t="shared" si="33"/>
        <v>105.30083312047117</v>
      </c>
      <c r="CQ29" s="373">
        <f t="shared" si="15"/>
        <v>0</v>
      </c>
      <c r="CR29" s="47">
        <f t="shared" si="16"/>
        <v>0</v>
      </c>
      <c r="CS29" s="47">
        <f t="shared" si="17"/>
        <v>0</v>
      </c>
      <c r="CT29" s="47">
        <f t="shared" si="18"/>
        <v>0</v>
      </c>
      <c r="CU29" s="47">
        <f t="shared" si="19"/>
        <v>332.7703982087433</v>
      </c>
      <c r="CV29" s="47">
        <f t="shared" si="20"/>
        <v>602.76485238508349</v>
      </c>
      <c r="CW29" s="47">
        <f t="shared" si="21"/>
        <v>875.50577424282051</v>
      </c>
      <c r="CX29" s="47">
        <f t="shared" si="22"/>
        <v>949.9482012322087</v>
      </c>
      <c r="CZ29" s="39"/>
    </row>
    <row r="30" spans="2:104"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f t="shared" si="23"/>
        <v>0</v>
      </c>
      <c r="AH30" s="47"/>
      <c r="AI30" s="47"/>
      <c r="AJ30" s="47"/>
      <c r="AK30" s="47"/>
      <c r="AL30" s="47"/>
      <c r="AM30" s="47">
        <f t="shared" si="24"/>
        <v>0</v>
      </c>
      <c r="AN30" s="47"/>
      <c r="AO30" s="47"/>
      <c r="AP30" s="47"/>
      <c r="AQ30" s="47"/>
      <c r="AR30" s="47"/>
      <c r="AS30" s="47">
        <f t="shared" si="8"/>
        <v>0</v>
      </c>
      <c r="AT30" s="47"/>
      <c r="AU30" s="47"/>
      <c r="AV30" s="47"/>
      <c r="AW30" s="47"/>
      <c r="AX30" s="47"/>
      <c r="AY30" s="47">
        <f t="shared" si="9"/>
        <v>0</v>
      </c>
      <c r="AZ30" s="47"/>
      <c r="BA30" s="47"/>
      <c r="BB30" s="47"/>
      <c r="BC30" s="47"/>
      <c r="BD30" s="47"/>
      <c r="BE30" s="47">
        <f t="shared" si="10"/>
        <v>0</v>
      </c>
      <c r="BF30" s="47"/>
      <c r="BG30" s="47"/>
      <c r="BH30" s="47"/>
      <c r="BI30" s="47"/>
      <c r="BJ30" s="47"/>
      <c r="BK30" s="47">
        <f t="shared" si="11"/>
        <v>0</v>
      </c>
      <c r="BL30" s="47"/>
      <c r="BM30" s="47"/>
      <c r="BN30" s="47"/>
      <c r="BO30" s="47"/>
      <c r="BP30" s="47"/>
      <c r="BQ30" s="47">
        <f t="shared" si="12"/>
        <v>0</v>
      </c>
      <c r="BR30" s="47"/>
      <c r="BS30" s="47"/>
      <c r="BT30" s="47"/>
      <c r="BU30" s="47"/>
      <c r="BV30" s="47"/>
      <c r="BW30" s="47">
        <f t="shared" si="13"/>
        <v>0</v>
      </c>
      <c r="BY30" s="47"/>
      <c r="BZ30" s="47"/>
      <c r="CA30" s="47"/>
      <c r="CB30" s="47"/>
      <c r="CC30" s="47"/>
      <c r="CD30" s="47"/>
      <c r="CE30" s="47"/>
      <c r="CF30" s="47"/>
      <c r="CH30" s="47"/>
      <c r="CI30" s="47"/>
      <c r="CJ30" s="47"/>
      <c r="CK30" s="47"/>
      <c r="CL30" s="47"/>
      <c r="CM30" s="47"/>
      <c r="CN30" s="47"/>
      <c r="CO30" s="47"/>
      <c r="CQ30" s="373">
        <f t="shared" si="15"/>
        <v>0</v>
      </c>
      <c r="CR30" s="47">
        <f t="shared" si="16"/>
        <v>0</v>
      </c>
      <c r="CS30" s="47">
        <f t="shared" si="17"/>
        <v>0</v>
      </c>
      <c r="CT30" s="47">
        <f t="shared" si="18"/>
        <v>0</v>
      </c>
      <c r="CU30" s="47">
        <f t="shared" si="19"/>
        <v>0</v>
      </c>
      <c r="CV30" s="47">
        <f t="shared" si="20"/>
        <v>0</v>
      </c>
      <c r="CW30" s="47">
        <f t="shared" si="21"/>
        <v>0</v>
      </c>
      <c r="CX30" s="47">
        <f t="shared" si="22"/>
        <v>0</v>
      </c>
      <c r="CZ30" s="39"/>
    </row>
    <row r="31" spans="2:104" x14ac:dyDescent="0.3">
      <c r="B31" s="7"/>
      <c r="C31" s="332" t="s">
        <v>579</v>
      </c>
      <c r="D31" s="7"/>
      <c r="E31" s="7" t="s">
        <v>45</v>
      </c>
      <c r="F31" s="7" t="s">
        <v>51</v>
      </c>
      <c r="G31" s="7" t="s">
        <v>10</v>
      </c>
      <c r="H31" s="7" t="s">
        <v>164</v>
      </c>
      <c r="I31" s="7" t="s">
        <v>214</v>
      </c>
      <c r="J31" s="45"/>
      <c r="K31" s="45"/>
      <c r="L31" s="45"/>
      <c r="M31" s="583">
        <v>-821</v>
      </c>
      <c r="N31" s="583">
        <v>-821</v>
      </c>
      <c r="O31" s="583">
        <v>-821</v>
      </c>
      <c r="P31" s="583">
        <v>-821</v>
      </c>
      <c r="Q31" s="583">
        <v>-821</v>
      </c>
      <c r="S31" s="47">
        <f>INDEX(Direct_Cost_Splits_Network,MATCH($H31,RIN_Asset_Cat_Network,0),MATCH($S$4,Direct_Cost_Type,0))*J31*HLOOKUP(S$5,Escalators!$I$25:$U$30,3,FALSE)</f>
        <v>0</v>
      </c>
      <c r="T31" s="47">
        <f>INDEX(Direct_Cost_Splits_Network,MATCH($H31,RIN_Asset_Cat_Network,0),MATCH($S$4,Direct_Cost_Type,0))*K31*HLOOKUP(T$5,Escalators!$I$25:$U$30,3,FALSE)</f>
        <v>0</v>
      </c>
      <c r="U31" s="47">
        <f>INDEX(Direct_Cost_Splits_Network,MATCH($H31,RIN_Asset_Cat_Network,0),MATCH($S$4,Direct_Cost_Type,0))*L31*HLOOKUP(U$5,Escalators!$I$25:$U$30,3,FALSE)</f>
        <v>0</v>
      </c>
      <c r="V31" s="47">
        <f>INDEX(Direct_Cost_Splits_Network,MATCH($H31,RIN_Asset_Cat_Network,0),MATCH($S$4,Direct_Cost_Type,0))*M31*HLOOKUP(V$5,Escalators!$I$25:$U$30,3,FALSE)</f>
        <v>-131.36589266667994</v>
      </c>
      <c r="W31" s="47">
        <f>INDEX(Direct_Cost_Splits_Network,MATCH($H31,RIN_Asset_Cat_Network,0),MATCH($S$4,Direct_Cost_Type,0))*N31*HLOOKUP(W$5,Escalators!$I$25:$U$30,3,FALSE)</f>
        <v>-132.71372803980404</v>
      </c>
      <c r="X31" s="47">
        <f>INDEX(Direct_Cost_Splits_Network,MATCH($H31,RIN_Asset_Cat_Network,0),MATCH($S$4,Direct_Cost_Type,0))*O31*HLOOKUP(X$5,Escalators!$I$25:$U$30,3,FALSE)</f>
        <v>-134.14224333907796</v>
      </c>
      <c r="Y31" s="47">
        <f>INDEX(Direct_Cost_Splits_Network,MATCH($H31,RIN_Asset_Cat_Network,0),MATCH($S$4,Direct_Cost_Type,0))*P31*HLOOKUP(Y$5,Escalators!$I$25:$U$30,3,FALSE)</f>
        <v>-135.41059302590892</v>
      </c>
      <c r="Z31" s="47">
        <f>INDEX(Direct_Cost_Splits_Network,MATCH($H31,RIN_Asset_Cat_Network,0),MATCH($S$4,Direct_Cost_Type,0))*Q31*HLOOKUP(Z$5,Escalators!$I$25:$U$30,3,FALSE)</f>
        <v>-136.60220624453692</v>
      </c>
      <c r="AB31" s="6">
        <f>INDEX(Direct_Cost_Splits_Network,MATCH($H31,RIN_Asset_Cat_Network,0),MATCH($AG$4,Direct_Cost_Type,0))*$J31*INDEX(Act_Type_Augex_Splits,MATCH($I31,Act_Type_Augex,0),MATCH(AB$4,Mat_Type,0))*INDEX(Escalators!$I$44:$U$49,MATCH(AB$4,Escalators!$C$44:$C$49,0),MATCH(AB$5,Escalators!$I$43:$U$43,0))</f>
        <v>0</v>
      </c>
      <c r="AC31" s="6">
        <f>INDEX(Direct_Cost_Splits_Network,MATCH($H31,RIN_Asset_Cat_Network,0),MATCH($AG$4,Direct_Cost_Type,0))*$J31*INDEX(Act_Type_Augex_Splits,MATCH($I31,Act_Type_Augex,0),MATCH(AC$4,Mat_Type,0))*INDEX(Escalators!$I$44:$U$49,MATCH(AC$4,Escalators!$C$44:$C$49,0),MATCH(AC$5,Escalators!$I$43:$U$43,0))</f>
        <v>0</v>
      </c>
      <c r="AD31" s="6">
        <f>INDEX(Direct_Cost_Splits_Network,MATCH($H31,RIN_Asset_Cat_Network,0),MATCH($AG$4,Direct_Cost_Type,0))*$J31*INDEX(Act_Type_Augex_Splits,MATCH($I31,Act_Type_Augex,0),MATCH(AD$4,Mat_Type,0))*INDEX(Escalators!$I$44:$U$49,MATCH(AD$4,Escalators!$C$44:$C$49,0),MATCH(AD$5,Escalators!$I$43:$U$43,0))</f>
        <v>0</v>
      </c>
      <c r="AE31" s="6">
        <f>INDEX(Direct_Cost_Splits_Network,MATCH($H31,RIN_Asset_Cat_Network,0),MATCH($AG$4,Direct_Cost_Type,0))*$J31*INDEX(Act_Type_Augex_Splits,MATCH($I31,Act_Type_Augex,0),MATCH(AE$4,Mat_Type,0))*INDEX(Escalators!$I$44:$U$49,MATCH(AE$4,Escalators!$C$44:$C$49,0),MATCH(AE$5,Escalators!$I$43:$U$43,0))</f>
        <v>0</v>
      </c>
      <c r="AF31" s="6">
        <f>INDEX(Direct_Cost_Splits_Network,MATCH($H31,RIN_Asset_Cat_Network,0),MATCH($AG$4,Direct_Cost_Type,0))*$J31*INDEX(Act_Type_Augex_Splits,MATCH($I31,Act_Type_Augex,0),MATCH(AF$4,Mat_Type,0))*INDEX(Escalators!$I$44:$U$49,MATCH(AF$4,Escalators!$C$44:$C$49,0),MATCH(AF$5,Escalators!$I$43:$U$43,0))</f>
        <v>0</v>
      </c>
      <c r="AG31" s="47">
        <f t="shared" si="23"/>
        <v>0</v>
      </c>
      <c r="AH31" s="47">
        <f>INDEX(Direct_Cost_Splits_Network,MATCH($H31,RIN_Asset_Cat_Network,0),MATCH($AY$4,Direct_Cost_Type,0))*$K31*INDEX(Act_Type_Augex_Splits,MATCH($I31,Act_Type_Augex,0),MATCH(AH$4,Mat_Type,0))*INDEX(Escalators!$I$44:$U$49,MATCH(AH$4,Escalators!$C$44:$C$49,0),MATCH(AH$5,Escalators!$I$43:$U$43,0))</f>
        <v>0</v>
      </c>
      <c r="AI31" s="47">
        <f>INDEX(Direct_Cost_Splits_Network,MATCH($H31,RIN_Asset_Cat_Network,0),MATCH($AY$4,Direct_Cost_Type,0))*$K31*INDEX(Act_Type_Augex_Splits,MATCH($I31,Act_Type_Augex,0),MATCH(AI$4,Mat_Type,0))*INDEX(Escalators!$I$44:$U$49,MATCH(AI$4,Escalators!$C$44:$C$49,0),MATCH(AI$5,Escalators!$I$43:$U$43,0))</f>
        <v>0</v>
      </c>
      <c r="AJ31" s="47">
        <f>INDEX(Direct_Cost_Splits_Network,MATCH($H31,RIN_Asset_Cat_Network,0),MATCH($AY$4,Direct_Cost_Type,0))*$K31*INDEX(Act_Type_Augex_Splits,MATCH($I31,Act_Type_Augex,0),MATCH(AJ$4,Mat_Type,0))*INDEX(Escalators!$I$44:$U$49,MATCH(AJ$4,Escalators!$C$44:$C$49,0),MATCH(AJ$5,Escalators!$I$43:$U$43,0))</f>
        <v>0</v>
      </c>
      <c r="AK31" s="47">
        <f>INDEX(Direct_Cost_Splits_Network,MATCH($H31,RIN_Asset_Cat_Network,0),MATCH($AY$4,Direct_Cost_Type,0))*$K31*INDEX(Act_Type_Augex_Splits,MATCH($I31,Act_Type_Augex,0),MATCH(AK$4,Mat_Type,0))*INDEX(Escalators!$I$44:$U$49,MATCH(AK$4,Escalators!$C$44:$C$49,0),MATCH(AK$5,Escalators!$I$43:$U$43,0))</f>
        <v>0</v>
      </c>
      <c r="AL31" s="47">
        <f>INDEX(Direct_Cost_Splits_Network,MATCH($H31,RIN_Asset_Cat_Network,0),MATCH($AY$4,Direct_Cost_Type,0))*$K31*INDEX(Act_Type_Augex_Splits,MATCH($I31,Act_Type_Augex,0),MATCH(AL$4,Mat_Type,0))*INDEX(Escalators!$I$44:$U$49,MATCH(AL$4,Escalators!$C$44:$C$49,0),MATCH(AL$5,Escalators!$I$43:$U$43,0))</f>
        <v>0</v>
      </c>
      <c r="AM31" s="47">
        <f t="shared" si="24"/>
        <v>0</v>
      </c>
      <c r="AN31" s="47">
        <f>INDEX(Direct_Cost_Splits_Network,MATCH($H31,RIN_Asset_Cat_Network,0),MATCH($AY$4,Direct_Cost_Type,0))*$L31*INDEX(Act_Type_Augex_Splits,MATCH($I31,Act_Type_Augex,0),MATCH(AN$4,Mat_Type,0))*INDEX(Escalators!$I$44:$U$49,MATCH(AN$4,Escalators!$C$44:$C$49,0),MATCH(AN$5,Escalators!$I$43:$U$43,0))</f>
        <v>0</v>
      </c>
      <c r="AO31" s="47">
        <f>INDEX(Direct_Cost_Splits_Network,MATCH($H31,RIN_Asset_Cat_Network,0),MATCH($AY$4,Direct_Cost_Type,0))*$L31*INDEX(Act_Type_Augex_Splits,MATCH($I31,Act_Type_Augex,0),MATCH(AO$4,Mat_Type,0))*INDEX(Escalators!$I$44:$U$49,MATCH(AO$4,Escalators!$C$44:$C$49,0),MATCH(AO$5,Escalators!$I$43:$U$43,0))</f>
        <v>0</v>
      </c>
      <c r="AP31" s="47">
        <f>INDEX(Direct_Cost_Splits_Network,MATCH($H31,RIN_Asset_Cat_Network,0),MATCH($AY$4,Direct_Cost_Type,0))*$L31*INDEX(Act_Type_Augex_Splits,MATCH($I31,Act_Type_Augex,0),MATCH(AP$4,Mat_Type,0))*INDEX(Escalators!$I$44:$U$49,MATCH(AP$4,Escalators!$C$44:$C$49,0),MATCH(AP$5,Escalators!$I$43:$U$43,0))</f>
        <v>0</v>
      </c>
      <c r="AQ31" s="47">
        <f>INDEX(Direct_Cost_Splits_Network,MATCH($H31,RIN_Asset_Cat_Network,0),MATCH($AY$4,Direct_Cost_Type,0))*$L31*INDEX(Act_Type_Augex_Splits,MATCH($I31,Act_Type_Augex,0),MATCH(AQ$4,Mat_Type,0))*INDEX(Escalators!$I$44:$U$49,MATCH(AQ$4,Escalators!$C$44:$C$49,0),MATCH(AQ$5,Escalators!$I$43:$U$43,0))</f>
        <v>0</v>
      </c>
      <c r="AR31" s="47">
        <f>INDEX(Direct_Cost_Splits_Network,MATCH($H31,RIN_Asset_Cat_Network,0),MATCH($AY$4,Direct_Cost_Type,0))*$L31*INDEX(Act_Type_Augex_Splits,MATCH($I31,Act_Type_Augex,0),MATCH(AR$4,Mat_Type,0))*INDEX(Escalators!$I$44:$U$49,MATCH(AR$4,Escalators!$C$44:$C$49,0),MATCH(AR$5,Escalators!$I$43:$U$43,0))</f>
        <v>0</v>
      </c>
      <c r="AS31" s="47">
        <f t="shared" si="8"/>
        <v>0</v>
      </c>
      <c r="AT31" s="47">
        <f>INDEX(Direct_Cost_Splits_Network,MATCH($H31,RIN_Asset_Cat_Network,0),MATCH($AY$4,Direct_Cost_Type,0))*$M31*INDEX(Act_Type_Augex_Splits,MATCH($I31,Act_Type_Augex,0),MATCH(AT$4,Mat_Type,0))*INDEX(Escalators!$I$44:$U$49,MATCH(AT$4,Escalators!$C$44:$C$49,0),MATCH(AT$5,Escalators!$I$43:$U$43,0))</f>
        <v>-169.87212099041417</v>
      </c>
      <c r="AU31" s="47">
        <f>INDEX(Direct_Cost_Splits_Network,MATCH($H31,RIN_Asset_Cat_Network,0),MATCH($AY$4,Direct_Cost_Type,0))*$M31*INDEX(Act_Type_Augex_Splits,MATCH($I31,Act_Type_Augex,0),MATCH(AU$4,Mat_Type,0))*INDEX(Escalators!$I$44:$U$49,MATCH(AU$4,Escalators!$C$44:$C$49,0),MATCH(AU$5,Escalators!$I$43:$U$43,0))</f>
        <v>0</v>
      </c>
      <c r="AV31" s="47">
        <f>INDEX(Direct_Cost_Splits_Network,MATCH($H31,RIN_Asset_Cat_Network,0),MATCH($AY$4,Direct_Cost_Type,0))*$M31*INDEX(Act_Type_Augex_Splits,MATCH($I31,Act_Type_Augex,0),MATCH(AV$4,Mat_Type,0))*INDEX(Escalators!$I$44:$U$49,MATCH(AV$4,Escalators!$C$44:$C$49,0),MATCH(AV$5,Escalators!$I$43:$U$43,0))</f>
        <v>-32.960262281722152</v>
      </c>
      <c r="AW31" s="47">
        <f>INDEX(Direct_Cost_Splits_Network,MATCH($H31,RIN_Asset_Cat_Network,0),MATCH($AY$4,Direct_Cost_Type,0))*$M31*INDEX(Act_Type_Augex_Splits,MATCH($I31,Act_Type_Augex,0),MATCH(AW$4,Mat_Type,0))*INDEX(Escalators!$I$44:$U$49,MATCH(AW$4,Escalators!$C$44:$C$49,0),MATCH(AW$5,Escalators!$I$43:$U$43,0))</f>
        <v>0</v>
      </c>
      <c r="AX31" s="47">
        <f>INDEX(Direct_Cost_Splits_Network,MATCH($H31,RIN_Asset_Cat_Network,0),MATCH($AY$4,Direct_Cost_Type,0))*$M31*INDEX(Act_Type_Augex_Splits,MATCH($I31,Act_Type_Augex,0),MATCH(AX$4,Mat_Type,0))*INDEX(Escalators!$I$44:$U$49,MATCH(AX$4,Escalators!$C$44:$C$49,0),MATCH(AX$5,Escalators!$I$43:$U$43,0))</f>
        <v>-50.708095818034082</v>
      </c>
      <c r="AY31" s="47">
        <f t="shared" si="9"/>
        <v>-253.54047909017041</v>
      </c>
      <c r="AZ31" s="47">
        <f>INDEX(Direct_Cost_Splits_Network,MATCH($H31,RIN_Asset_Cat_Network,0),MATCH($BE$4,Direct_Cost_Type,0))*$N31*INDEX(Act_Type_Augex_Splits,MATCH($I31,Act_Type_Augex,0),MATCH(AZ$4,Mat_Type,0))*INDEX(Escalators!$I$44:$U$49,MATCH(AZ$4,Escalators!$C$44:$C$49,0),MATCH(AZ$5,Escalators!$I$43:$U$43,0))</f>
        <v>-169.87212099041417</v>
      </c>
      <c r="BA31" s="47">
        <f>INDEX(Direct_Cost_Splits_Network,MATCH($H31,RIN_Asset_Cat_Network,0),MATCH($BE$4,Direct_Cost_Type,0))*$N31*INDEX(Act_Type_Augex_Splits,MATCH($I31,Act_Type_Augex,0),MATCH(BA$4,Mat_Type,0))*INDEX(Escalators!$I$44:$U$49,MATCH(BA$4,Escalators!$C$44:$C$49,0),MATCH(BA$5,Escalators!$I$43:$U$43,0))</f>
        <v>0</v>
      </c>
      <c r="BB31" s="47">
        <f>INDEX(Direct_Cost_Splits_Network,MATCH($H31,RIN_Asset_Cat_Network,0),MATCH($BE$4,Direct_Cost_Type,0))*$N31*INDEX(Act_Type_Augex_Splits,MATCH($I31,Act_Type_Augex,0),MATCH(BB$4,Mat_Type,0))*INDEX(Escalators!$I$44:$U$49,MATCH(BB$4,Escalators!$C$44:$C$49,0),MATCH(BB$5,Escalators!$I$43:$U$43,0))</f>
        <v>-32.960262281722152</v>
      </c>
      <c r="BC31" s="47">
        <f>INDEX(Direct_Cost_Splits_Network,MATCH($H31,RIN_Asset_Cat_Network,0),MATCH($BE$4,Direct_Cost_Type,0))*$N31*INDEX(Act_Type_Augex_Splits,MATCH($I31,Act_Type_Augex,0),MATCH(BC$4,Mat_Type,0))*INDEX(Escalators!$I$44:$U$49,MATCH(BC$4,Escalators!$C$44:$C$49,0),MATCH(BC$5,Escalators!$I$43:$U$43,0))</f>
        <v>0</v>
      </c>
      <c r="BD31" s="47">
        <f>INDEX(Direct_Cost_Splits_Network,MATCH($H31,RIN_Asset_Cat_Network,0),MATCH($BE$4,Direct_Cost_Type,0))*$N31*INDEX(Act_Type_Augex_Splits,MATCH($I31,Act_Type_Augex,0),MATCH(BD$4,Mat_Type,0))*INDEX(Escalators!$I$44:$U$49,MATCH(BD$4,Escalators!$C$44:$C$49,0),MATCH(BD$5,Escalators!$I$43:$U$43,0))</f>
        <v>-50.708095818034082</v>
      </c>
      <c r="BE31" s="47">
        <f t="shared" si="10"/>
        <v>-253.54047909017041</v>
      </c>
      <c r="BF31" s="47">
        <f>INDEX(Direct_Cost_Splits_Network,MATCH($H31,RIN_Asset_Cat_Network,0),MATCH($BK$4,Direct_Cost_Type,0))*$O31*INDEX(Act_Type_Augex_Splits,MATCH($I31,Act_Type_Augex,0),MATCH(BF$4,Mat_Type,0))*INDEX(Escalators!$I$44:$U$49,MATCH(BF$4,Escalators!$C$44:$C$49,0),MATCH(BF$5,Escalators!$I$43:$U$43,0))</f>
        <v>-169.87212099041417</v>
      </c>
      <c r="BG31" s="47">
        <f>INDEX(Direct_Cost_Splits_Network,MATCH($H31,RIN_Asset_Cat_Network,0),MATCH($BK$4,Direct_Cost_Type,0))*$O31*INDEX(Act_Type_Augex_Splits,MATCH($I31,Act_Type_Augex,0),MATCH(BG$4,Mat_Type,0))*INDEX(Escalators!$I$44:$U$49,MATCH(BG$4,Escalators!$C$44:$C$49,0),MATCH(BG$5,Escalators!$I$43:$U$43,0))</f>
        <v>0</v>
      </c>
      <c r="BH31" s="47">
        <f>INDEX(Direct_Cost_Splits_Network,MATCH($H31,RIN_Asset_Cat_Network,0),MATCH($BK$4,Direct_Cost_Type,0))*$O31*INDEX(Act_Type_Augex_Splits,MATCH($I31,Act_Type_Augex,0),MATCH(BH$4,Mat_Type,0))*INDEX(Escalators!$I$44:$U$49,MATCH(BH$4,Escalators!$C$44:$C$49,0),MATCH(BH$5,Escalators!$I$43:$U$43,0))</f>
        <v>-32.960262281722152</v>
      </c>
      <c r="BI31" s="47">
        <f>INDEX(Direct_Cost_Splits_Network,MATCH($H31,RIN_Asset_Cat_Network,0),MATCH($BK$4,Direct_Cost_Type,0))*$O31*INDEX(Act_Type_Augex_Splits,MATCH($I31,Act_Type_Augex,0),MATCH(BI$4,Mat_Type,0))*INDEX(Escalators!$I$44:$U$49,MATCH(BI$4,Escalators!$C$44:$C$49,0),MATCH(BI$5,Escalators!$I$43:$U$43,0))</f>
        <v>0</v>
      </c>
      <c r="BJ31" s="47">
        <f>INDEX(Direct_Cost_Splits_Network,MATCH($H31,RIN_Asset_Cat_Network,0),MATCH($BK$4,Direct_Cost_Type,0))*$O31*INDEX(Act_Type_Augex_Splits,MATCH($I31,Act_Type_Augex,0),MATCH(BJ$4,Mat_Type,0))*INDEX(Escalators!$I$44:$U$49,MATCH(BJ$4,Escalators!$C$44:$C$49,0),MATCH(BJ$5,Escalators!$I$43:$U$43,0))</f>
        <v>-50.708095818034082</v>
      </c>
      <c r="BK31" s="47">
        <f t="shared" si="11"/>
        <v>-253.54047909017041</v>
      </c>
      <c r="BL31" s="47">
        <f>INDEX(Direct_Cost_Splits_Network,MATCH($H31,RIN_Asset_Cat_Network,0),MATCH($BQ$4,Direct_Cost_Type,0))*$P31*INDEX(Act_Type_Augex_Splits,MATCH($I31,Act_Type_Augex,0),MATCH(BL$4,Mat_Type,0))*INDEX(Escalators!$I$44:$U$49,MATCH(BL$4,Escalators!$C$44:$C$49,0),MATCH(BL$5,Escalators!$I$43:$U$43,0))</f>
        <v>-169.87212099041417</v>
      </c>
      <c r="BM31" s="47">
        <f>INDEX(Direct_Cost_Splits_Network,MATCH($H31,RIN_Asset_Cat_Network,0),MATCH($BQ$4,Direct_Cost_Type,0))*$P31*INDEX(Act_Type_Augex_Splits,MATCH($I31,Act_Type_Augex,0),MATCH(BM$4,Mat_Type,0))*INDEX(Escalators!$I$44:$U$49,MATCH(BM$4,Escalators!$C$44:$C$49,0),MATCH(BM$5,Escalators!$I$43:$U$43,0))</f>
        <v>0</v>
      </c>
      <c r="BN31" s="47">
        <f>INDEX(Direct_Cost_Splits_Network,MATCH($H31,RIN_Asset_Cat_Network,0),MATCH($BQ$4,Direct_Cost_Type,0))*$P31*INDEX(Act_Type_Augex_Splits,MATCH($I31,Act_Type_Augex,0),MATCH(BN$4,Mat_Type,0))*INDEX(Escalators!$I$44:$U$49,MATCH(BN$4,Escalators!$C$44:$C$49,0),MATCH(BN$5,Escalators!$I$43:$U$43,0))</f>
        <v>-32.960262281722152</v>
      </c>
      <c r="BO31" s="47">
        <f>INDEX(Direct_Cost_Splits_Network,MATCH($H31,RIN_Asset_Cat_Network,0),MATCH($BQ$4,Direct_Cost_Type,0))*$P31*INDEX(Act_Type_Augex_Splits,MATCH($I31,Act_Type_Augex,0),MATCH(BO$4,Mat_Type,0))*INDEX(Escalators!$I$44:$U$49,MATCH(BO$4,Escalators!$C$44:$C$49,0),MATCH(BO$5,Escalators!$I$43:$U$43,0))</f>
        <v>0</v>
      </c>
      <c r="BP31" s="47">
        <f>INDEX(Direct_Cost_Splits_Network,MATCH($H31,RIN_Asset_Cat_Network,0),MATCH($BQ$4,Direct_Cost_Type,0))*$P31*INDEX(Act_Type_Augex_Splits,MATCH($I31,Act_Type_Augex,0),MATCH(BP$4,Mat_Type,0))*INDEX(Escalators!$I$44:$U$49,MATCH(BP$4,Escalators!$C$44:$C$49,0),MATCH(BP$5,Escalators!$I$43:$U$43,0))</f>
        <v>-50.708095818034082</v>
      </c>
      <c r="BQ31" s="47">
        <f t="shared" si="12"/>
        <v>-253.54047909017041</v>
      </c>
      <c r="BR31" s="47">
        <f>INDEX(Direct_Cost_Splits_Network,MATCH($H31,RIN_Asset_Cat_Network,0),MATCH($BW$4,Direct_Cost_Type,0))*$Q31*INDEX(Act_Type_Augex_Splits,MATCH($I31,Act_Type_Augex,0),MATCH(BR$4,Mat_Type,0))*INDEX(Escalators!$I$44:$U$49,MATCH(BR$4,Escalators!$C$44:$C$49,0),MATCH(BR$5,Escalators!$I$43:$U$43,0))</f>
        <v>-169.87212099041417</v>
      </c>
      <c r="BS31" s="47">
        <f>INDEX(Direct_Cost_Splits_Network,MATCH($H31,RIN_Asset_Cat_Network,0),MATCH($BW$4,Direct_Cost_Type,0))*$Q31*INDEX(Act_Type_Augex_Splits,MATCH($I31,Act_Type_Augex,0),MATCH(BS$4,Mat_Type,0))*INDEX(Escalators!$I$44:$U$49,MATCH(BS$4,Escalators!$C$44:$C$49,0),MATCH(BS$5,Escalators!$I$43:$U$43,0))</f>
        <v>0</v>
      </c>
      <c r="BT31" s="47">
        <f>INDEX(Direct_Cost_Splits_Network,MATCH($H31,RIN_Asset_Cat_Network,0),MATCH($BW$4,Direct_Cost_Type,0))*$Q31*INDEX(Act_Type_Augex_Splits,MATCH($I31,Act_Type_Augex,0),MATCH(BT$4,Mat_Type,0))*INDEX(Escalators!$I$44:$U$49,MATCH(BT$4,Escalators!$C$44:$C$49,0),MATCH(BT$5,Escalators!$I$43:$U$43,0))</f>
        <v>-32.960262281722152</v>
      </c>
      <c r="BU31" s="47">
        <f>INDEX(Direct_Cost_Splits_Network,MATCH($H31,RIN_Asset_Cat_Network,0),MATCH($BW$4,Direct_Cost_Type,0))*$Q31*INDEX(Act_Type_Augex_Splits,MATCH($I31,Act_Type_Augex,0),MATCH(BU$4,Mat_Type,0))*INDEX(Escalators!$I$44:$U$49,MATCH(BU$4,Escalators!$C$44:$C$49,0),MATCH(BU$5,Escalators!$I$43:$U$43,0))</f>
        <v>0</v>
      </c>
      <c r="BV31" s="47">
        <f>INDEX(Direct_Cost_Splits_Network,MATCH($H31,RIN_Asset_Cat_Network,0),MATCH($BW$4,Direct_Cost_Type,0))*$Q31*INDEX(Act_Type_Augex_Splits,MATCH($I31,Act_Type_Augex,0),MATCH(BV$4,Mat_Type,0))*INDEX(Escalators!$I$44:$U$49,MATCH(BV$4,Escalators!$C$44:$C$49,0),MATCH(BV$5,Escalators!$I$43:$U$43,0))</f>
        <v>-50.708095818034082</v>
      </c>
      <c r="BW31" s="47">
        <f t="shared" si="13"/>
        <v>-253.54047909017041</v>
      </c>
      <c r="BY31" s="47">
        <f>INDEX(Direct_Cost_Splits_Network,MATCH($H31,RIN_Asset_Cat_Network,0),MATCH($BY$4,Direct_Cost_Type,0))*J31*HLOOKUP(BY$5,Escalators!$I$25:$U$30,6,FALSE)</f>
        <v>0</v>
      </c>
      <c r="BZ31" s="47">
        <f>INDEX(Direct_Cost_Splits_Network,MATCH($H31,RIN_Asset_Cat_Network,0),MATCH($BY$4,Direct_Cost_Type,0))*K31*HLOOKUP(BZ$5,Escalators!$I$25:$U$30,6,FALSE)</f>
        <v>0</v>
      </c>
      <c r="CA31" s="47">
        <f>INDEX(Direct_Cost_Splits_Network,MATCH($H31,RIN_Asset_Cat_Network,0),MATCH($BY$4,Direct_Cost_Type,0))*L31*HLOOKUP(CA$5,Escalators!$I$25:$U$30,6,FALSE)</f>
        <v>0</v>
      </c>
      <c r="CB31" s="47">
        <f>INDEX(Direct_Cost_Splits_Network,MATCH($H31,RIN_Asset_Cat_Network,0),MATCH($BY$4,Direct_Cost_Type,0))*M31*HLOOKUP(CB$5,Escalators!$I$25:$U$30,6,FALSE)</f>
        <v>-356.80206948788594</v>
      </c>
      <c r="CC31" s="47">
        <f>INDEX(Direct_Cost_Splits_Network,MATCH($H31,RIN_Asset_Cat_Network,0),MATCH($BY$4,Direct_Cost_Type,0))*N31*HLOOKUP(CC$5,Escalators!$I$25:$U$30,6,FALSE)</f>
        <v>-360.4629166126407</v>
      </c>
      <c r="CD31" s="47">
        <f>INDEX(Direct_Cost_Splits_Network,MATCH($H31,RIN_Asset_Cat_Network,0),MATCH($BY$4,Direct_Cost_Type,0))*O31*HLOOKUP(CD$5,Escalators!$I$25:$U$30,6,FALSE)</f>
        <v>-364.34289797408366</v>
      </c>
      <c r="CE31" s="47">
        <f>INDEX(Direct_Cost_Splits_Network,MATCH($H31,RIN_Asset_Cat_Network,0),MATCH($BY$4,Direct_Cost_Type,0))*P31*HLOOKUP(CE$5,Escalators!$I$25:$U$30,6,FALSE)</f>
        <v>-367.78785452946505</v>
      </c>
      <c r="CF31" s="47">
        <f>INDEX(Direct_Cost_Splits_Network,MATCH($H31,RIN_Asset_Cat_Network,0),MATCH($BY$4,Direct_Cost_Type,0))*Q31*HLOOKUP(CF$5,Escalators!$I$25:$U$30,6,FALSE)</f>
        <v>-371.02438764932435</v>
      </c>
      <c r="CH31" s="47">
        <f t="shared" ref="CH31:CO31" si="34">INDEX(Direct_Cost_Splits_Network,MATCH($H31,RIN_Asset_Cat_Network,0),MATCH($CH$4,Direct_Cost_Type,0))*J31</f>
        <v>0</v>
      </c>
      <c r="CI31" s="47">
        <f t="shared" si="34"/>
        <v>0</v>
      </c>
      <c r="CJ31" s="47">
        <f t="shared" si="34"/>
        <v>0</v>
      </c>
      <c r="CK31" s="47">
        <f t="shared" si="34"/>
        <v>-94.893478574701305</v>
      </c>
      <c r="CL31" s="47">
        <f t="shared" si="34"/>
        <v>-94.893478574701305</v>
      </c>
      <c r="CM31" s="47">
        <f t="shared" si="34"/>
        <v>-94.893478574701305</v>
      </c>
      <c r="CN31" s="47">
        <f t="shared" si="34"/>
        <v>-94.893478574701305</v>
      </c>
      <c r="CO31" s="47">
        <f t="shared" si="34"/>
        <v>-94.893478574701305</v>
      </c>
      <c r="CQ31" s="373">
        <f t="shared" si="15"/>
        <v>0</v>
      </c>
      <c r="CR31" s="47">
        <f t="shared" si="16"/>
        <v>0</v>
      </c>
      <c r="CS31" s="47">
        <f t="shared" si="17"/>
        <v>0</v>
      </c>
      <c r="CT31" s="47">
        <f t="shared" si="18"/>
        <v>-836.60191981943763</v>
      </c>
      <c r="CU31" s="47">
        <f t="shared" si="19"/>
        <v>-841.61060231731653</v>
      </c>
      <c r="CV31" s="47">
        <f t="shared" si="20"/>
        <v>-846.91909897803339</v>
      </c>
      <c r="CW31" s="47">
        <f t="shared" si="21"/>
        <v>-851.63240522024557</v>
      </c>
      <c r="CX31" s="47">
        <f t="shared" si="22"/>
        <v>-856.06055155873287</v>
      </c>
      <c r="CZ31" s="39"/>
    </row>
    <row r="32" spans="2:104"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373">
        <f t="shared" ref="CQ32:CQ36" si="35">S32+AG32+BY32+CH32</f>
        <v>0</v>
      </c>
      <c r="CR32" s="47">
        <f t="shared" ref="CR32:CR36" si="36">T32+AM32+BZ32+CI32</f>
        <v>0</v>
      </c>
      <c r="CS32" s="47">
        <f t="shared" ref="CS32:CS36" si="37">U32+AS32+CA32+CJ32</f>
        <v>0</v>
      </c>
      <c r="CT32" s="47">
        <f t="shared" ref="CT32:CT36" si="38">V32+AY32+CB32+CK32</f>
        <v>0</v>
      </c>
      <c r="CU32" s="47">
        <f t="shared" ref="CU32:CU36" si="39">W32+BE32+CC32+CL32</f>
        <v>0</v>
      </c>
      <c r="CV32" s="47">
        <f t="shared" ref="CV32:CV36" si="40">X32+BK32+CD32+CM32</f>
        <v>0</v>
      </c>
      <c r="CW32" s="47">
        <f t="shared" ref="CW32:CW36" si="41">Y32+BQ32+CE32+CN32</f>
        <v>0</v>
      </c>
      <c r="CX32" s="47">
        <f t="shared" ref="CX32:CX36" si="42">Z32+BW32+CF32+CO32</f>
        <v>0</v>
      </c>
      <c r="CZ32" s="39"/>
    </row>
    <row r="33" spans="2:104"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373">
        <f t="shared" si="35"/>
        <v>0</v>
      </c>
      <c r="CR33" s="47">
        <f t="shared" si="36"/>
        <v>0</v>
      </c>
      <c r="CS33" s="47">
        <f t="shared" si="37"/>
        <v>0</v>
      </c>
      <c r="CT33" s="47">
        <f t="shared" si="38"/>
        <v>0</v>
      </c>
      <c r="CU33" s="47">
        <f t="shared" si="39"/>
        <v>0</v>
      </c>
      <c r="CV33" s="47">
        <f t="shared" si="40"/>
        <v>0</v>
      </c>
      <c r="CW33" s="47">
        <f t="shared" si="41"/>
        <v>0</v>
      </c>
      <c r="CX33" s="47">
        <f t="shared" si="42"/>
        <v>0</v>
      </c>
      <c r="CZ33" s="39"/>
    </row>
    <row r="34" spans="2:104"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373">
        <f t="shared" si="35"/>
        <v>0</v>
      </c>
      <c r="CR34" s="47">
        <f t="shared" si="36"/>
        <v>0</v>
      </c>
      <c r="CS34" s="47">
        <f t="shared" si="37"/>
        <v>0</v>
      </c>
      <c r="CT34" s="47">
        <f t="shared" si="38"/>
        <v>0</v>
      </c>
      <c r="CU34" s="47">
        <f t="shared" si="39"/>
        <v>0</v>
      </c>
      <c r="CV34" s="47">
        <f t="shared" si="40"/>
        <v>0</v>
      </c>
      <c r="CW34" s="47">
        <f t="shared" si="41"/>
        <v>0</v>
      </c>
      <c r="CX34" s="47">
        <f t="shared" si="42"/>
        <v>0</v>
      </c>
      <c r="CZ34" s="39"/>
    </row>
    <row r="35" spans="2:104"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373">
        <f t="shared" si="35"/>
        <v>0</v>
      </c>
      <c r="CR35" s="47">
        <f t="shared" si="36"/>
        <v>0</v>
      </c>
      <c r="CS35" s="47">
        <f t="shared" si="37"/>
        <v>0</v>
      </c>
      <c r="CT35" s="47">
        <f t="shared" si="38"/>
        <v>0</v>
      </c>
      <c r="CU35" s="47">
        <f t="shared" si="39"/>
        <v>0</v>
      </c>
      <c r="CV35" s="47">
        <f t="shared" si="40"/>
        <v>0</v>
      </c>
      <c r="CW35" s="47">
        <f t="shared" si="41"/>
        <v>0</v>
      </c>
      <c r="CX35" s="47">
        <f t="shared" si="42"/>
        <v>0</v>
      </c>
      <c r="CZ35" s="39"/>
    </row>
    <row r="36" spans="2:104"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373">
        <f t="shared" si="35"/>
        <v>0</v>
      </c>
      <c r="CR36" s="47">
        <f t="shared" si="36"/>
        <v>0</v>
      </c>
      <c r="CS36" s="47">
        <f t="shared" si="37"/>
        <v>0</v>
      </c>
      <c r="CT36" s="47">
        <f t="shared" si="38"/>
        <v>0</v>
      </c>
      <c r="CU36" s="47">
        <f t="shared" si="39"/>
        <v>0</v>
      </c>
      <c r="CV36" s="47">
        <f t="shared" si="40"/>
        <v>0</v>
      </c>
      <c r="CW36" s="47">
        <f t="shared" si="41"/>
        <v>0</v>
      </c>
      <c r="CX36" s="47">
        <f t="shared" si="42"/>
        <v>0</v>
      </c>
      <c r="CZ36" s="39"/>
    </row>
    <row r="37" spans="2:104" x14ac:dyDescent="0.3">
      <c r="J37" s="48">
        <f t="shared" ref="J37:BU37" si="43">SUM(J6:J36)</f>
        <v>0</v>
      </c>
      <c r="K37" s="48">
        <f t="shared" si="43"/>
        <v>0</v>
      </c>
      <c r="L37" s="48">
        <f t="shared" si="43"/>
        <v>0</v>
      </c>
      <c r="M37" s="48">
        <f t="shared" si="43"/>
        <v>16152.3</v>
      </c>
      <c r="N37" s="48">
        <f t="shared" si="43"/>
        <v>29137.797892036626</v>
      </c>
      <c r="O37" s="48">
        <f t="shared" si="43"/>
        <v>35297.765208252938</v>
      </c>
      <c r="P37" s="48">
        <f t="shared" si="43"/>
        <v>40590.932524469259</v>
      </c>
      <c r="Q37" s="48">
        <f t="shared" si="43"/>
        <v>42712.496167587611</v>
      </c>
      <c r="S37" s="48">
        <f t="shared" si="43"/>
        <v>0</v>
      </c>
      <c r="T37" s="48">
        <f t="shared" si="43"/>
        <v>0</v>
      </c>
      <c r="U37" s="48">
        <f t="shared" si="43"/>
        <v>0</v>
      </c>
      <c r="V37" s="48">
        <f t="shared" si="43"/>
        <v>2584.4839319366797</v>
      </c>
      <c r="W37" s="48">
        <f t="shared" si="43"/>
        <v>4710.092308310017</v>
      </c>
      <c r="X37" s="48">
        <f t="shared" si="43"/>
        <v>5767.2611569928195</v>
      </c>
      <c r="Y37" s="48">
        <f t="shared" si="43"/>
        <v>6694.813939845355</v>
      </c>
      <c r="Z37" s="48">
        <f t="shared" si="43"/>
        <v>7106.7249825868394</v>
      </c>
      <c r="AB37" s="48">
        <f t="shared" si="43"/>
        <v>0</v>
      </c>
      <c r="AC37" s="48">
        <f t="shared" si="43"/>
        <v>0</v>
      </c>
      <c r="AD37" s="48">
        <f t="shared" si="43"/>
        <v>0</v>
      </c>
      <c r="AE37" s="48">
        <f t="shared" si="43"/>
        <v>0</v>
      </c>
      <c r="AF37" s="48">
        <f t="shared" si="43"/>
        <v>0</v>
      </c>
      <c r="AG37" s="48">
        <f t="shared" si="43"/>
        <v>0</v>
      </c>
      <c r="AH37" s="48">
        <f t="shared" si="43"/>
        <v>0</v>
      </c>
      <c r="AI37" s="48">
        <f t="shared" si="43"/>
        <v>0</v>
      </c>
      <c r="AJ37" s="48">
        <f t="shared" si="43"/>
        <v>0</v>
      </c>
      <c r="AK37" s="48">
        <f t="shared" si="43"/>
        <v>0</v>
      </c>
      <c r="AL37" s="48">
        <f t="shared" si="43"/>
        <v>0</v>
      </c>
      <c r="AM37" s="48">
        <f t="shared" si="43"/>
        <v>0</v>
      </c>
      <c r="AN37" s="48">
        <f t="shared" si="43"/>
        <v>0</v>
      </c>
      <c r="AO37" s="48">
        <f t="shared" si="43"/>
        <v>0</v>
      </c>
      <c r="AP37" s="48">
        <f t="shared" si="43"/>
        <v>0</v>
      </c>
      <c r="AQ37" s="48">
        <f t="shared" si="43"/>
        <v>0</v>
      </c>
      <c r="AR37" s="48">
        <f t="shared" si="43"/>
        <v>0</v>
      </c>
      <c r="AS37" s="48">
        <f t="shared" si="43"/>
        <v>0</v>
      </c>
      <c r="AT37" s="48">
        <f t="shared" si="43"/>
        <v>1522.2326397486761</v>
      </c>
      <c r="AU37" s="48">
        <f t="shared" si="43"/>
        <v>366.9635572390593</v>
      </c>
      <c r="AV37" s="48">
        <f t="shared" si="43"/>
        <v>684.76157005235643</v>
      </c>
      <c r="AW37" s="48">
        <f t="shared" si="43"/>
        <v>26.141536607774569</v>
      </c>
      <c r="AX37" s="48">
        <f t="shared" si="43"/>
        <v>2388.0394057408776</v>
      </c>
      <c r="AY37" s="48">
        <f t="shared" si="43"/>
        <v>4988.1387093887442</v>
      </c>
      <c r="AZ37" s="48">
        <f t="shared" si="43"/>
        <v>1859.4133418517583</v>
      </c>
      <c r="BA37" s="48">
        <f t="shared" si="43"/>
        <v>1000.7564542006968</v>
      </c>
      <c r="BB37" s="48">
        <f t="shared" si="43"/>
        <v>2200.7633604236321</v>
      </c>
      <c r="BC37" s="48">
        <f t="shared" si="43"/>
        <v>220.9770167998351</v>
      </c>
      <c r="BD37" s="48">
        <f t="shared" si="43"/>
        <v>3716.3982763946283</v>
      </c>
      <c r="BE37" s="48">
        <f t="shared" si="43"/>
        <v>8998.3084496705487</v>
      </c>
      <c r="BF37" s="48">
        <f t="shared" si="43"/>
        <v>1748.2799614614858</v>
      </c>
      <c r="BG37" s="48">
        <f t="shared" si="43"/>
        <v>1344.5367816178759</v>
      </c>
      <c r="BH37" s="48">
        <f t="shared" si="43"/>
        <v>3042.9737555462734</v>
      </c>
      <c r="BI37" s="48">
        <f t="shared" si="43"/>
        <v>332.72579077116325</v>
      </c>
      <c r="BJ37" s="48">
        <f t="shared" si="43"/>
        <v>4432.1077078173284</v>
      </c>
      <c r="BK37" s="48">
        <f t="shared" si="43"/>
        <v>10900.623997214125</v>
      </c>
      <c r="BL37" s="48">
        <f t="shared" si="43"/>
        <v>1549.5111328443045</v>
      </c>
      <c r="BM37" s="48">
        <f t="shared" si="43"/>
        <v>1658.7322394895764</v>
      </c>
      <c r="BN37" s="48">
        <f t="shared" si="43"/>
        <v>3817.8418229803424</v>
      </c>
      <c r="BO37" s="48">
        <f t="shared" si="43"/>
        <v>437.07834735612164</v>
      </c>
      <c r="BP37" s="48">
        <f t="shared" si="43"/>
        <v>5072.0916083293077</v>
      </c>
      <c r="BQ37" s="48">
        <f t="shared" si="43"/>
        <v>12535.255150999654</v>
      </c>
      <c r="BR37" s="48">
        <f t="shared" si="43"/>
        <v>1568.9630864141341</v>
      </c>
      <c r="BS37" s="48">
        <f t="shared" si="43"/>
        <v>1764.6843146772712</v>
      </c>
      <c r="BT37" s="48">
        <f t="shared" si="43"/>
        <v>4081.2528305669784</v>
      </c>
      <c r="BU37" s="48">
        <f t="shared" si="43"/>
        <v>470.91046220345913</v>
      </c>
      <c r="BV37" s="48">
        <f t="shared" ref="BV37:BW37" si="44">SUM(BV6:BV36)</f>
        <v>5304.6238268046982</v>
      </c>
      <c r="BW37" s="48">
        <f t="shared" si="44"/>
        <v>13190.43452066654</v>
      </c>
      <c r="BY37" s="48">
        <f t="shared" ref="BY37:CX37" si="45">SUM(BY6:BY36)</f>
        <v>0</v>
      </c>
      <c r="BZ37" s="48">
        <f t="shared" si="45"/>
        <v>0</v>
      </c>
      <c r="CA37" s="48">
        <f t="shared" si="45"/>
        <v>0</v>
      </c>
      <c r="CB37" s="48">
        <f t="shared" si="45"/>
        <v>7019.7004470026541</v>
      </c>
      <c r="CC37" s="48">
        <f t="shared" si="45"/>
        <v>12793.051902354659</v>
      </c>
      <c r="CD37" s="48">
        <f t="shared" si="45"/>
        <v>15664.421520077542</v>
      </c>
      <c r="CE37" s="48">
        <f t="shared" si="45"/>
        <v>18183.741761906007</v>
      </c>
      <c r="CF37" s="48">
        <f t="shared" si="45"/>
        <v>19302.530737580153</v>
      </c>
      <c r="CH37" s="48">
        <f t="shared" si="45"/>
        <v>0</v>
      </c>
      <c r="CI37" s="48">
        <f t="shared" si="45"/>
        <v>0</v>
      </c>
      <c r="CJ37" s="48">
        <f t="shared" si="45"/>
        <v>0</v>
      </c>
      <c r="CK37" s="48">
        <f t="shared" si="45"/>
        <v>1866.9280560074883</v>
      </c>
      <c r="CL37" s="48">
        <f t="shared" si="45"/>
        <v>3367.8282581997005</v>
      </c>
      <c r="CM37" s="48">
        <f t="shared" si="45"/>
        <v>4079.8145268260496</v>
      </c>
      <c r="CN37" s="48">
        <f t="shared" si="45"/>
        <v>4691.6136246502683</v>
      </c>
      <c r="CO37" s="48">
        <f t="shared" si="45"/>
        <v>4936.8298903178884</v>
      </c>
      <c r="CQ37" s="48">
        <f t="shared" si="45"/>
        <v>0</v>
      </c>
      <c r="CR37" s="48">
        <f t="shared" si="45"/>
        <v>0</v>
      </c>
      <c r="CS37" s="48">
        <f t="shared" si="45"/>
        <v>0</v>
      </c>
      <c r="CT37" s="48">
        <f t="shared" si="45"/>
        <v>16459.251144335569</v>
      </c>
      <c r="CU37" s="48">
        <f t="shared" si="45"/>
        <v>29869.280918534925</v>
      </c>
      <c r="CV37" s="48">
        <f t="shared" si="45"/>
        <v>36412.121201110538</v>
      </c>
      <c r="CW37" s="48">
        <f t="shared" si="45"/>
        <v>42105.424477401284</v>
      </c>
      <c r="CX37" s="48">
        <f t="shared" si="45"/>
        <v>44536.520131151432</v>
      </c>
    </row>
    <row r="38" spans="2:104" x14ac:dyDescent="0.3">
      <c r="CQ38" s="85">
        <f t="shared" ref="CQ38:CX38" si="46">IF(ISERROR((CQ37-J37)/J37),0,(CQ37-J37)/J37)</f>
        <v>0</v>
      </c>
      <c r="CR38" s="85">
        <f t="shared" si="46"/>
        <v>0</v>
      </c>
      <c r="CS38" s="85">
        <f t="shared" si="46"/>
        <v>0</v>
      </c>
      <c r="CT38" s="85">
        <f t="shared" si="46"/>
        <v>1.9003556418316251E-2</v>
      </c>
      <c r="CU38" s="85">
        <f t="shared" si="46"/>
        <v>2.5104265916341399E-2</v>
      </c>
      <c r="CV38" s="85">
        <f t="shared" si="46"/>
        <v>3.1570157098700771E-2</v>
      </c>
      <c r="CW38" s="85">
        <f t="shared" si="46"/>
        <v>3.7311090402248094E-2</v>
      </c>
      <c r="CX38" s="85">
        <f t="shared" si="46"/>
        <v>4.2704691301745597E-2</v>
      </c>
    </row>
    <row r="39" spans="2:104" x14ac:dyDescent="0.3">
      <c r="H39" s="1" t="s">
        <v>133</v>
      </c>
      <c r="J39" s="39"/>
      <c r="K39" s="39"/>
      <c r="L39" s="39"/>
      <c r="M39" s="39"/>
      <c r="N39" s="39"/>
      <c r="O39" s="39"/>
      <c r="P39" s="39"/>
      <c r="Q39" s="39"/>
    </row>
    <row r="40" spans="2:104" x14ac:dyDescent="0.3">
      <c r="J40" s="39"/>
      <c r="K40" s="39"/>
      <c r="L40" s="39"/>
      <c r="M40" s="108"/>
      <c r="N40" s="39"/>
      <c r="O40" s="39"/>
      <c r="P40" s="39"/>
      <c r="Q40" s="39"/>
    </row>
    <row r="42" spans="2:104" x14ac:dyDescent="0.3">
      <c r="J42" s="39"/>
      <c r="K42" s="39"/>
      <c r="L42" s="39"/>
      <c r="M42" s="39"/>
      <c r="N42" s="39"/>
      <c r="O42" s="39"/>
      <c r="P42" s="39"/>
      <c r="Q42" s="39"/>
    </row>
    <row r="43" spans="2:104" x14ac:dyDescent="0.3">
      <c r="J43" s="39"/>
      <c r="K43" s="39"/>
      <c r="L43" s="39"/>
      <c r="M43" s="39"/>
      <c r="N43" s="39"/>
      <c r="O43" s="39"/>
      <c r="P43" s="39"/>
      <c r="Q43" s="39"/>
    </row>
    <row r="44" spans="2:104" x14ac:dyDescent="0.3">
      <c r="J44" s="39"/>
      <c r="K44" s="39"/>
      <c r="L44" s="39"/>
      <c r="M44" s="39"/>
      <c r="N44" s="39"/>
      <c r="O44" s="39"/>
      <c r="P44" s="39"/>
      <c r="Q44" s="39"/>
    </row>
    <row r="45" spans="2:104" x14ac:dyDescent="0.3">
      <c r="J45" s="39"/>
      <c r="K45" s="39"/>
      <c r="L45" s="39"/>
      <c r="M45" s="39"/>
      <c r="N45" s="39"/>
      <c r="O45" s="39"/>
      <c r="P45" s="39"/>
      <c r="Q45" s="39"/>
    </row>
    <row r="46" spans="2:104" x14ac:dyDescent="0.3">
      <c r="J46" s="39"/>
      <c r="K46" s="39"/>
      <c r="L46" s="39"/>
      <c r="M46" s="39"/>
      <c r="N46" s="39"/>
      <c r="O46" s="39"/>
      <c r="P46" s="39"/>
      <c r="Q46" s="39"/>
    </row>
    <row r="47" spans="2:104" x14ac:dyDescent="0.3">
      <c r="J47" s="50"/>
      <c r="K47" s="50"/>
      <c r="L47" s="50"/>
      <c r="M47" s="50"/>
      <c r="N47" s="50"/>
      <c r="O47" s="50"/>
      <c r="P47" s="50"/>
      <c r="Q47" s="50"/>
    </row>
    <row r="48" spans="2:104" x14ac:dyDescent="0.3">
      <c r="J48" s="50"/>
      <c r="K48" s="50"/>
      <c r="L48" s="50"/>
      <c r="M48" s="50"/>
      <c r="N48" s="50"/>
      <c r="O48" s="50"/>
      <c r="P48" s="50"/>
      <c r="Q48" s="50"/>
    </row>
  </sheetData>
  <mergeCells count="9">
    <mergeCell ref="J4:Q4"/>
    <mergeCell ref="S3:Z3"/>
    <mergeCell ref="BY3:CF3"/>
    <mergeCell ref="CQ3:CX3"/>
    <mergeCell ref="CH3:CO3"/>
    <mergeCell ref="CQ4:CX4"/>
    <mergeCell ref="CH4:CO4"/>
    <mergeCell ref="BY4:CF4"/>
    <mergeCell ref="S4:Z4"/>
  </mergeCells>
  <hyperlinks>
    <hyperlink ref="B2" location="Contents!A1" display="Table of Contents" xr:uid="{00000000-0004-0000-0800-000000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errorStyle="warning" showInputMessage="1" showErrorMessage="1" error="Invalid data entered" prompt="Select from drop down list" xr:uid="{00000000-0002-0000-0800-000000000000}">
          <x14:formula1>
            <xm:f>Lookups!$C$5:$C$13</xm:f>
          </x14:formula1>
          <xm:sqref>E6:E36</xm:sqref>
        </x14:dataValidation>
        <x14:dataValidation type="list" errorStyle="warning" allowBlank="1" showInputMessage="1" showErrorMessage="1" prompt="Select from drop down list" xr:uid="{00000000-0002-0000-0800-000001000000}">
          <x14:formula1>
            <xm:f>Lab_Mat!$C$6:$C$11</xm:f>
          </x14:formula1>
          <xm:sqref>H6:H36</xm:sqref>
        </x14:dataValidation>
        <x14:dataValidation type="list" errorStyle="warning" allowBlank="1" showInputMessage="1" showErrorMessage="1" prompt="Select from drop down list" xr:uid="{00000000-0002-0000-0800-000002000000}">
          <x14:formula1>
            <xm:f>Lab_Mat!$C$33:$C$48</xm:f>
          </x14:formula1>
          <xm:sqref>I6:I36</xm:sqref>
        </x14:dataValidation>
        <x14:dataValidation type="list" errorStyle="warning" showInputMessage="1" showErrorMessage="1" error="Invalid data entered" prompt="Select from drop down list" xr:uid="{00000000-0002-0000-0800-000003000000}">
          <x14:formula1>
            <xm:f>Lookups!$I$5:$I$10</xm:f>
          </x14:formula1>
          <xm:sqref>G6:G36</xm:sqref>
        </x14:dataValidation>
        <x14:dataValidation type="list" errorStyle="warning" showInputMessage="1" showErrorMessage="1" error="Invalid data entered" prompt="Select from drop down list" xr:uid="{00000000-0002-0000-0800-000004000000}">
          <x14:formula1>
            <xm:f>Lookups!$C$16:$C$27</xm:f>
          </x14:formula1>
          <xm:sqref>F6:F36</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B1:CY53"/>
  <sheetViews>
    <sheetView zoomScale="70" zoomScaleNormal="70" zoomScalePageLayoutView="125" workbookViewId="0">
      <pane xSplit="7" topLeftCell="H1" activePane="topRight" state="frozen"/>
      <selection activeCell="K24" sqref="K24"/>
      <selection pane="topRight" activeCell="I1" sqref="I1"/>
    </sheetView>
  </sheetViews>
  <sheetFormatPr defaultColWidth="8.88671875" defaultRowHeight="14.4" outlineLevelRow="1" outlineLevelCol="1" x14ac:dyDescent="0.3"/>
  <cols>
    <col min="1" max="1" width="4" style="1" customWidth="1"/>
    <col min="2" max="2" width="8.88671875" style="1"/>
    <col min="3" max="3" width="47.44140625" style="1" bestFit="1" customWidth="1"/>
    <col min="4" max="4" width="19.109375" style="1" customWidth="1"/>
    <col min="5" max="5" width="24.44140625" style="1" hidden="1" customWidth="1" outlineLevel="1"/>
    <col min="6" max="6" width="33.88671875" style="1" hidden="1" customWidth="1" outlineLevel="1"/>
    <col min="7" max="7" width="40.44140625" style="1" hidden="1" customWidth="1" outlineLevel="1"/>
    <col min="8" max="8" width="9.44140625" style="1" customWidth="1" collapsed="1"/>
    <col min="9" max="15" width="9.44140625" style="1" customWidth="1"/>
    <col min="16" max="16" width="3.33203125" style="1" customWidth="1"/>
    <col min="17" max="23" width="8.88671875" style="1"/>
    <col min="24" max="24" width="3" style="1" customWidth="1"/>
    <col min="25" max="28" width="9.6640625" style="1" customWidth="1"/>
    <col min="29" max="29" width="3" style="1" customWidth="1"/>
    <col min="30" max="31" width="10.6640625" style="1" customWidth="1"/>
    <col min="32" max="36" width="8.88671875" style="1"/>
    <col min="37" max="37" width="2.88671875" style="1" customWidth="1"/>
    <col min="38" max="42" width="8.6640625" style="1" hidden="1" customWidth="1" outlineLevel="1"/>
    <col min="43" max="43" width="8.88671875" style="1" collapsed="1"/>
    <col min="44" max="48" width="8.88671875" style="1" hidden="1" customWidth="1" outlineLevel="1"/>
    <col min="49" max="49" width="8.88671875" style="1" collapsed="1"/>
    <col min="50" max="54" width="8.88671875" style="1" hidden="1" customWidth="1" outlineLevel="1"/>
    <col min="55" max="55" width="8.88671875" style="1" collapsed="1"/>
    <col min="56" max="60" width="8.88671875" style="1" hidden="1" customWidth="1" outlineLevel="1"/>
    <col min="61" max="61" width="8.88671875" style="1" collapsed="1"/>
    <col min="62" max="66" width="8.88671875" style="1" hidden="1" customWidth="1" outlineLevel="1"/>
    <col min="67" max="67" width="8.88671875" style="1" collapsed="1"/>
    <col min="68" max="72" width="8.88671875" style="1" hidden="1" customWidth="1" outlineLevel="1"/>
    <col min="73" max="73" width="8.88671875" style="1" collapsed="1"/>
    <col min="74" max="78" width="8.88671875" style="1" hidden="1" customWidth="1" outlineLevel="1"/>
    <col min="79" max="79" width="8.88671875" style="1" collapsed="1"/>
    <col min="80" max="80" width="2.44140625" style="1" customWidth="1"/>
    <col min="81" max="87" width="8.88671875" style="1"/>
    <col min="88" max="88" width="2.88671875" style="1" customWidth="1"/>
    <col min="89" max="95" width="8.88671875" style="1"/>
    <col min="96" max="96" width="2.88671875" style="1" customWidth="1"/>
    <col min="97" max="16384" width="8.88671875" style="1"/>
  </cols>
  <sheetData>
    <row r="1" spans="2:103" ht="18" x14ac:dyDescent="0.35">
      <c r="B1" s="10" t="s">
        <v>26</v>
      </c>
      <c r="I1" s="581" t="s">
        <v>755</v>
      </c>
      <c r="AD1" s="52"/>
      <c r="AE1" s="52"/>
    </row>
    <row r="2" spans="2:103" x14ac:dyDescent="0.3">
      <c r="B2" s="25" t="s">
        <v>6</v>
      </c>
      <c r="AQ2" s="89"/>
      <c r="AR2" s="89"/>
      <c r="AS2" s="89"/>
      <c r="AT2" s="89"/>
      <c r="AU2" s="89"/>
      <c r="AV2" s="89"/>
      <c r="AX2" s="89"/>
      <c r="AY2" s="89"/>
      <c r="AZ2" s="89"/>
      <c r="BA2" s="89"/>
      <c r="BB2" s="89"/>
    </row>
    <row r="3" spans="2:103" x14ac:dyDescent="0.3">
      <c r="Q3" s="592"/>
      <c r="R3" s="592"/>
      <c r="S3" s="592"/>
      <c r="T3" s="592"/>
      <c r="U3" s="592"/>
      <c r="V3" s="592"/>
      <c r="W3" s="592"/>
      <c r="AD3" s="592"/>
      <c r="AE3" s="592"/>
      <c r="AF3" s="592"/>
      <c r="AG3" s="592"/>
      <c r="AH3" s="592"/>
      <c r="AI3" s="592"/>
      <c r="AJ3" s="592"/>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C3" s="592"/>
      <c r="CD3" s="592"/>
      <c r="CE3" s="592"/>
      <c r="CF3" s="592"/>
      <c r="CG3" s="592"/>
      <c r="CH3" s="592"/>
      <c r="CI3" s="592"/>
      <c r="CK3" s="592"/>
      <c r="CL3" s="592"/>
      <c r="CM3" s="592"/>
      <c r="CN3" s="592"/>
      <c r="CO3" s="592"/>
      <c r="CP3" s="592"/>
      <c r="CQ3" s="592"/>
      <c r="CS3" s="592"/>
      <c r="CT3" s="592"/>
      <c r="CU3" s="592"/>
      <c r="CV3" s="592"/>
      <c r="CW3" s="592"/>
      <c r="CX3" s="592"/>
      <c r="CY3" s="592"/>
    </row>
    <row r="4" spans="2:103" hidden="1" outlineLevel="1" x14ac:dyDescent="0.3">
      <c r="Q4" s="104"/>
      <c r="R4" s="224"/>
      <c r="S4" s="104"/>
      <c r="T4" s="104"/>
      <c r="U4" s="104"/>
      <c r="V4" s="104"/>
      <c r="W4" s="104"/>
      <c r="Y4" s="1" t="s">
        <v>174</v>
      </c>
      <c r="Z4" s="1" t="s">
        <v>173</v>
      </c>
      <c r="AA4" s="1" t="s">
        <v>297</v>
      </c>
      <c r="AB4" s="1" t="s">
        <v>175</v>
      </c>
      <c r="AD4" s="104"/>
      <c r="AE4" s="224"/>
      <c r="AF4" s="104"/>
      <c r="AG4" s="104"/>
      <c r="AH4" s="104"/>
      <c r="AI4" s="104"/>
      <c r="AJ4" s="104"/>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C4" s="104"/>
      <c r="CD4" s="224"/>
      <c r="CE4" s="104"/>
      <c r="CF4" s="104"/>
      <c r="CG4" s="104"/>
      <c r="CH4" s="104"/>
      <c r="CI4" s="104"/>
      <c r="CK4" s="104"/>
      <c r="CL4" s="224"/>
      <c r="CM4" s="104"/>
      <c r="CN4" s="104"/>
      <c r="CO4" s="104"/>
      <c r="CP4" s="104"/>
      <c r="CQ4" s="104"/>
      <c r="CS4" s="104"/>
      <c r="CT4" s="224"/>
      <c r="CU4" s="104"/>
      <c r="CV4" s="104"/>
      <c r="CW4" s="104"/>
      <c r="CX4" s="104"/>
      <c r="CY4" s="104"/>
    </row>
    <row r="5" spans="2:103" ht="57.6" collapsed="1" x14ac:dyDescent="0.3">
      <c r="B5" s="2" t="s">
        <v>289</v>
      </c>
      <c r="H5" s="593" t="s">
        <v>385</v>
      </c>
      <c r="I5" s="594"/>
      <c r="J5" s="594"/>
      <c r="K5" s="594"/>
      <c r="L5" s="594"/>
      <c r="M5" s="594"/>
      <c r="N5" s="595"/>
      <c r="O5" s="9" t="s">
        <v>377</v>
      </c>
      <c r="Q5" s="589" t="s">
        <v>386</v>
      </c>
      <c r="R5" s="590"/>
      <c r="S5" s="590"/>
      <c r="T5" s="590"/>
      <c r="U5" s="590"/>
      <c r="V5" s="590"/>
      <c r="W5" s="591"/>
      <c r="Y5" s="9" t="s">
        <v>381</v>
      </c>
      <c r="Z5" s="9" t="s">
        <v>382</v>
      </c>
      <c r="AA5" s="9" t="s">
        <v>383</v>
      </c>
      <c r="AB5" s="9" t="s">
        <v>384</v>
      </c>
      <c r="AD5" s="589" t="s">
        <v>174</v>
      </c>
      <c r="AE5" s="590"/>
      <c r="AF5" s="590"/>
      <c r="AG5" s="590"/>
      <c r="AH5" s="590"/>
      <c r="AI5" s="590"/>
      <c r="AJ5" s="591"/>
      <c r="AL5" s="9" t="s">
        <v>180</v>
      </c>
      <c r="AM5" s="9" t="s">
        <v>181</v>
      </c>
      <c r="AN5" s="9" t="s">
        <v>182</v>
      </c>
      <c r="AO5" s="9" t="s">
        <v>183</v>
      </c>
      <c r="AP5" s="9" t="s">
        <v>5</v>
      </c>
      <c r="AQ5" s="9" t="s">
        <v>173</v>
      </c>
      <c r="AR5" s="9" t="s">
        <v>180</v>
      </c>
      <c r="AS5" s="9" t="s">
        <v>181</v>
      </c>
      <c r="AT5" s="9" t="s">
        <v>182</v>
      </c>
      <c r="AU5" s="9" t="s">
        <v>183</v>
      </c>
      <c r="AV5" s="9" t="s">
        <v>5</v>
      </c>
      <c r="AW5" s="9" t="s">
        <v>173</v>
      </c>
      <c r="AX5" s="9" t="s">
        <v>180</v>
      </c>
      <c r="AY5" s="9" t="s">
        <v>181</v>
      </c>
      <c r="AZ5" s="9" t="s">
        <v>182</v>
      </c>
      <c r="BA5" s="9" t="s">
        <v>183</v>
      </c>
      <c r="BB5" s="9" t="s">
        <v>5</v>
      </c>
      <c r="BC5" s="9" t="s">
        <v>173</v>
      </c>
      <c r="BD5" s="9" t="s">
        <v>180</v>
      </c>
      <c r="BE5" s="9" t="s">
        <v>181</v>
      </c>
      <c r="BF5" s="9" t="s">
        <v>182</v>
      </c>
      <c r="BG5" s="9" t="s">
        <v>183</v>
      </c>
      <c r="BH5" s="9" t="s">
        <v>5</v>
      </c>
      <c r="BI5" s="9" t="s">
        <v>173</v>
      </c>
      <c r="BJ5" s="9" t="s">
        <v>180</v>
      </c>
      <c r="BK5" s="9" t="s">
        <v>181</v>
      </c>
      <c r="BL5" s="9" t="s">
        <v>182</v>
      </c>
      <c r="BM5" s="9" t="s">
        <v>183</v>
      </c>
      <c r="BN5" s="9" t="s">
        <v>5</v>
      </c>
      <c r="BO5" s="9" t="s">
        <v>173</v>
      </c>
      <c r="BP5" s="9" t="s">
        <v>180</v>
      </c>
      <c r="BQ5" s="9" t="s">
        <v>181</v>
      </c>
      <c r="BR5" s="9" t="s">
        <v>182</v>
      </c>
      <c r="BS5" s="9" t="s">
        <v>183</v>
      </c>
      <c r="BT5" s="9" t="s">
        <v>5</v>
      </c>
      <c r="BU5" s="9" t="s">
        <v>173</v>
      </c>
      <c r="BV5" s="9" t="s">
        <v>180</v>
      </c>
      <c r="BW5" s="9" t="s">
        <v>181</v>
      </c>
      <c r="BX5" s="9" t="s">
        <v>182</v>
      </c>
      <c r="BY5" s="9" t="s">
        <v>183</v>
      </c>
      <c r="BZ5" s="9" t="s">
        <v>5</v>
      </c>
      <c r="CA5" s="9" t="s">
        <v>173</v>
      </c>
      <c r="CC5" s="589" t="s">
        <v>297</v>
      </c>
      <c r="CD5" s="590"/>
      <c r="CE5" s="590"/>
      <c r="CF5" s="590"/>
      <c r="CG5" s="590"/>
      <c r="CH5" s="590"/>
      <c r="CI5" s="591"/>
      <c r="CK5" s="589" t="s">
        <v>175</v>
      </c>
      <c r="CL5" s="590"/>
      <c r="CM5" s="590"/>
      <c r="CN5" s="590"/>
      <c r="CO5" s="590"/>
      <c r="CP5" s="590"/>
      <c r="CQ5" s="591"/>
      <c r="CS5" s="589" t="s">
        <v>379</v>
      </c>
      <c r="CT5" s="590"/>
      <c r="CU5" s="590"/>
      <c r="CV5" s="590"/>
      <c r="CW5" s="590"/>
      <c r="CX5" s="590"/>
      <c r="CY5" s="591"/>
    </row>
    <row r="6" spans="2:103" x14ac:dyDescent="0.3">
      <c r="B6" s="8" t="s">
        <v>23</v>
      </c>
      <c r="C6" s="8" t="s">
        <v>24</v>
      </c>
      <c r="D6" s="17" t="s">
        <v>98</v>
      </c>
      <c r="E6" s="17" t="s">
        <v>76</v>
      </c>
      <c r="F6" s="17" t="s">
        <v>77</v>
      </c>
      <c r="G6" s="17" t="s">
        <v>212</v>
      </c>
      <c r="H6" s="335">
        <f>CP_Yr_4</f>
        <v>43800</v>
      </c>
      <c r="I6" s="335">
        <f>CP_Yr_5</f>
        <v>44166</v>
      </c>
      <c r="J6" s="335">
        <f>Yr_1</f>
        <v>44742</v>
      </c>
      <c r="K6" s="335">
        <f>Yr_2</f>
        <v>45107</v>
      </c>
      <c r="L6" s="335">
        <f>Yr_3</f>
        <v>45473</v>
      </c>
      <c r="M6" s="335">
        <f>Yr_4</f>
        <v>45838</v>
      </c>
      <c r="N6" s="335">
        <f>Yr_5</f>
        <v>46203</v>
      </c>
      <c r="O6" s="335"/>
      <c r="P6" s="336"/>
      <c r="Q6" s="335">
        <f>CP_Yr_4</f>
        <v>43800</v>
      </c>
      <c r="R6" s="335">
        <f>CP_Yr_5</f>
        <v>44166</v>
      </c>
      <c r="S6" s="335">
        <f>Yr_1</f>
        <v>44742</v>
      </c>
      <c r="T6" s="335">
        <f>Yr_2</f>
        <v>45107</v>
      </c>
      <c r="U6" s="335">
        <f>Yr_3</f>
        <v>45473</v>
      </c>
      <c r="V6" s="335">
        <f>Yr_4</f>
        <v>45838</v>
      </c>
      <c r="W6" s="335">
        <f>Yr_5</f>
        <v>46203</v>
      </c>
      <c r="X6" s="336"/>
      <c r="Y6" s="335"/>
      <c r="Z6" s="335"/>
      <c r="AA6" s="335"/>
      <c r="AB6" s="335"/>
      <c r="AC6" s="336"/>
      <c r="AD6" s="335">
        <f>CP_Yr_4</f>
        <v>43800</v>
      </c>
      <c r="AE6" s="335">
        <f>CP_Yr_5</f>
        <v>44166</v>
      </c>
      <c r="AF6" s="335">
        <f>Yr_1</f>
        <v>44742</v>
      </c>
      <c r="AG6" s="335">
        <f>Yr_2</f>
        <v>45107</v>
      </c>
      <c r="AH6" s="335">
        <f>Yr_3</f>
        <v>45473</v>
      </c>
      <c r="AI6" s="335">
        <f>Yr_4</f>
        <v>45838</v>
      </c>
      <c r="AJ6" s="335">
        <f>Yr_5</f>
        <v>46203</v>
      </c>
      <c r="AK6" s="336"/>
      <c r="AL6" s="335">
        <f t="shared" ref="AL6:AQ6" si="0">CP_Yr_4</f>
        <v>43800</v>
      </c>
      <c r="AM6" s="335">
        <f t="shared" si="0"/>
        <v>43800</v>
      </c>
      <c r="AN6" s="335">
        <f t="shared" si="0"/>
        <v>43800</v>
      </c>
      <c r="AO6" s="335">
        <f t="shared" si="0"/>
        <v>43800</v>
      </c>
      <c r="AP6" s="335">
        <f t="shared" si="0"/>
        <v>43800</v>
      </c>
      <c r="AQ6" s="335">
        <f t="shared" si="0"/>
        <v>43800</v>
      </c>
      <c r="AR6" s="335">
        <f t="shared" ref="AR6:AW6" si="1">CP_Yr_5</f>
        <v>44166</v>
      </c>
      <c r="AS6" s="335">
        <f t="shared" si="1"/>
        <v>44166</v>
      </c>
      <c r="AT6" s="335">
        <f t="shared" si="1"/>
        <v>44166</v>
      </c>
      <c r="AU6" s="335">
        <f t="shared" si="1"/>
        <v>44166</v>
      </c>
      <c r="AV6" s="335">
        <f t="shared" si="1"/>
        <v>44166</v>
      </c>
      <c r="AW6" s="335">
        <f t="shared" si="1"/>
        <v>44166</v>
      </c>
      <c r="AX6" s="335">
        <f t="shared" ref="AX6:BC6" si="2">Yr_1</f>
        <v>44742</v>
      </c>
      <c r="AY6" s="335">
        <f t="shared" si="2"/>
        <v>44742</v>
      </c>
      <c r="AZ6" s="335">
        <f t="shared" si="2"/>
        <v>44742</v>
      </c>
      <c r="BA6" s="335">
        <f t="shared" si="2"/>
        <v>44742</v>
      </c>
      <c r="BB6" s="335">
        <f t="shared" si="2"/>
        <v>44742</v>
      </c>
      <c r="BC6" s="335">
        <f t="shared" si="2"/>
        <v>44742</v>
      </c>
      <c r="BD6" s="335">
        <f t="shared" ref="BD6:BI6" si="3">Yr_2</f>
        <v>45107</v>
      </c>
      <c r="BE6" s="335">
        <f t="shared" si="3"/>
        <v>45107</v>
      </c>
      <c r="BF6" s="335">
        <f t="shared" si="3"/>
        <v>45107</v>
      </c>
      <c r="BG6" s="335">
        <f t="shared" si="3"/>
        <v>45107</v>
      </c>
      <c r="BH6" s="335">
        <f t="shared" si="3"/>
        <v>45107</v>
      </c>
      <c r="BI6" s="335">
        <f t="shared" si="3"/>
        <v>45107</v>
      </c>
      <c r="BJ6" s="335">
        <f t="shared" ref="BJ6:BO6" si="4">Yr_3</f>
        <v>45473</v>
      </c>
      <c r="BK6" s="335">
        <f t="shared" si="4"/>
        <v>45473</v>
      </c>
      <c r="BL6" s="335">
        <f t="shared" si="4"/>
        <v>45473</v>
      </c>
      <c r="BM6" s="335">
        <f t="shared" si="4"/>
        <v>45473</v>
      </c>
      <c r="BN6" s="335">
        <f t="shared" si="4"/>
        <v>45473</v>
      </c>
      <c r="BO6" s="335">
        <f t="shared" si="4"/>
        <v>45473</v>
      </c>
      <c r="BP6" s="335">
        <f t="shared" ref="BP6:BU6" si="5">Yr_4</f>
        <v>45838</v>
      </c>
      <c r="BQ6" s="335">
        <f t="shared" si="5"/>
        <v>45838</v>
      </c>
      <c r="BR6" s="335">
        <f t="shared" si="5"/>
        <v>45838</v>
      </c>
      <c r="BS6" s="335">
        <f t="shared" si="5"/>
        <v>45838</v>
      </c>
      <c r="BT6" s="335">
        <f t="shared" si="5"/>
        <v>45838</v>
      </c>
      <c r="BU6" s="335">
        <f t="shared" si="5"/>
        <v>45838</v>
      </c>
      <c r="BV6" s="335">
        <f t="shared" ref="BV6:CA6" si="6">Yr_5</f>
        <v>46203</v>
      </c>
      <c r="BW6" s="335">
        <f t="shared" si="6"/>
        <v>46203</v>
      </c>
      <c r="BX6" s="335">
        <f t="shared" si="6"/>
        <v>46203</v>
      </c>
      <c r="BY6" s="335">
        <f t="shared" si="6"/>
        <v>46203</v>
      </c>
      <c r="BZ6" s="335">
        <f t="shared" si="6"/>
        <v>46203</v>
      </c>
      <c r="CA6" s="335">
        <f t="shared" si="6"/>
        <v>46203</v>
      </c>
      <c r="CB6" s="336"/>
      <c r="CC6" s="335">
        <f>CP_Yr_4</f>
        <v>43800</v>
      </c>
      <c r="CD6" s="335">
        <f>CP_Yr_5</f>
        <v>44166</v>
      </c>
      <c r="CE6" s="335">
        <f>Yr_1</f>
        <v>44742</v>
      </c>
      <c r="CF6" s="335">
        <f>Yr_2</f>
        <v>45107</v>
      </c>
      <c r="CG6" s="335">
        <f>Yr_3</f>
        <v>45473</v>
      </c>
      <c r="CH6" s="335">
        <f>Yr_4</f>
        <v>45838</v>
      </c>
      <c r="CI6" s="335">
        <f>Yr_5</f>
        <v>46203</v>
      </c>
      <c r="CJ6" s="336"/>
      <c r="CK6" s="335">
        <f>CP_Yr_4</f>
        <v>43800</v>
      </c>
      <c r="CL6" s="335">
        <f>CP_Yr_5</f>
        <v>44166</v>
      </c>
      <c r="CM6" s="335">
        <f>Yr_1</f>
        <v>44742</v>
      </c>
      <c r="CN6" s="335">
        <f>Yr_2</f>
        <v>45107</v>
      </c>
      <c r="CO6" s="335">
        <f>Yr_3</f>
        <v>45473</v>
      </c>
      <c r="CP6" s="335">
        <f>Yr_4</f>
        <v>45838</v>
      </c>
      <c r="CQ6" s="335">
        <f>Yr_5</f>
        <v>46203</v>
      </c>
      <c r="CS6" s="335">
        <f>CP_Yr_4</f>
        <v>43800</v>
      </c>
      <c r="CT6" s="335">
        <f>CP_Yr_5</f>
        <v>44166</v>
      </c>
      <c r="CU6" s="335">
        <f>Yr_1</f>
        <v>44742</v>
      </c>
      <c r="CV6" s="335">
        <f>Yr_2</f>
        <v>45107</v>
      </c>
      <c r="CW6" s="335">
        <f>Yr_3</f>
        <v>45473</v>
      </c>
      <c r="CX6" s="335">
        <f>Yr_4</f>
        <v>45838</v>
      </c>
      <c r="CY6" s="335">
        <f>Yr_5</f>
        <v>46203</v>
      </c>
    </row>
    <row r="7" spans="2:103" x14ac:dyDescent="0.3">
      <c r="B7" s="7"/>
      <c r="C7" s="7"/>
      <c r="D7" s="7"/>
      <c r="E7" s="7" t="s">
        <v>45</v>
      </c>
      <c r="F7" s="7" t="s">
        <v>51</v>
      </c>
      <c r="G7" s="7" t="s">
        <v>167</v>
      </c>
      <c r="H7" s="45"/>
      <c r="I7" s="45"/>
      <c r="J7" s="45"/>
      <c r="K7" s="45"/>
      <c r="L7" s="45"/>
      <c r="M7" s="45"/>
      <c r="N7" s="45"/>
      <c r="O7" s="106"/>
      <c r="Q7" s="47"/>
      <c r="R7" s="47"/>
      <c r="S7" s="47"/>
      <c r="T7" s="47"/>
      <c r="U7" s="47"/>
      <c r="V7" s="47"/>
      <c r="W7" s="47"/>
      <c r="X7" s="52"/>
      <c r="Y7" s="107"/>
      <c r="Z7" s="107"/>
      <c r="AA7" s="107"/>
      <c r="AB7" s="107"/>
      <c r="AC7" s="52"/>
      <c r="AD7" s="47"/>
      <c r="AE7" s="47"/>
      <c r="AF7" s="47"/>
      <c r="AG7" s="47"/>
      <c r="AH7" s="47"/>
      <c r="AI7" s="47"/>
      <c r="AJ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C7" s="47"/>
      <c r="CD7" s="47"/>
      <c r="CE7" s="47"/>
      <c r="CF7" s="47"/>
      <c r="CG7" s="47"/>
      <c r="CH7" s="47"/>
      <c r="CI7" s="47"/>
      <c r="CK7" s="83"/>
      <c r="CL7" s="83"/>
      <c r="CM7" s="83"/>
      <c r="CN7" s="83"/>
      <c r="CO7" s="83"/>
      <c r="CP7" s="83"/>
      <c r="CQ7" s="83"/>
      <c r="CS7" s="47">
        <f>AD7+AQ7+CC7+CK7</f>
        <v>0</v>
      </c>
      <c r="CT7" s="47">
        <f>AE7+BB7+CD7+CL7</f>
        <v>0</v>
      </c>
      <c r="CU7" s="47">
        <f>AF7+BC7+CE7+CM7</f>
        <v>0</v>
      </c>
      <c r="CV7" s="47">
        <f>AG7+BI7+CF7+CN7</f>
        <v>0</v>
      </c>
      <c r="CW7" s="47">
        <f>AH7+BO7+CG7+CO7</f>
        <v>0</v>
      </c>
      <c r="CX7" s="47">
        <f>AI7+BU7+CH7+CP7</f>
        <v>0</v>
      </c>
      <c r="CY7" s="47">
        <f>AJ7+CA7+CI7+CQ7</f>
        <v>0</v>
      </c>
    </row>
    <row r="8" spans="2:103" x14ac:dyDescent="0.3">
      <c r="B8" s="7"/>
      <c r="C8" s="227" t="s">
        <v>380</v>
      </c>
      <c r="D8" s="7"/>
      <c r="E8" s="7" t="s">
        <v>45</v>
      </c>
      <c r="F8" s="7" t="s">
        <v>51</v>
      </c>
      <c r="G8" s="7" t="s">
        <v>167</v>
      </c>
      <c r="H8" s="45"/>
      <c r="I8" s="45"/>
      <c r="J8" s="45"/>
      <c r="K8" s="45"/>
      <c r="L8" s="45"/>
      <c r="M8" s="45"/>
      <c r="N8" s="45"/>
      <c r="O8" s="106"/>
      <c r="Q8" s="47"/>
      <c r="R8" s="47"/>
      <c r="S8" s="47"/>
      <c r="T8" s="47"/>
      <c r="U8" s="47"/>
      <c r="V8" s="47"/>
      <c r="W8" s="47"/>
      <c r="Y8" s="107"/>
      <c r="Z8" s="107"/>
      <c r="AA8" s="107"/>
      <c r="AB8" s="107"/>
      <c r="AD8" s="47"/>
      <c r="AE8" s="47"/>
      <c r="AF8" s="47"/>
      <c r="AG8" s="47"/>
      <c r="AH8" s="47"/>
      <c r="AI8" s="47"/>
      <c r="AJ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C8" s="47"/>
      <c r="CD8" s="47"/>
      <c r="CE8" s="47"/>
      <c r="CF8" s="47"/>
      <c r="CG8" s="47"/>
      <c r="CH8" s="47"/>
      <c r="CI8" s="47"/>
      <c r="CK8" s="83"/>
      <c r="CL8" s="83"/>
      <c r="CM8" s="83"/>
      <c r="CN8" s="83"/>
      <c r="CO8" s="83"/>
      <c r="CP8" s="83"/>
      <c r="CQ8" s="83"/>
      <c r="CS8" s="47">
        <f t="shared" ref="CS8:CS37" si="7">AD8+AQ8+CC8+CK8</f>
        <v>0</v>
      </c>
      <c r="CT8" s="47">
        <f t="shared" ref="CT8:CU37" si="8">AE8+BB8+CD8+CL8</f>
        <v>0</v>
      </c>
      <c r="CU8" s="47">
        <f t="shared" si="8"/>
        <v>0</v>
      </c>
      <c r="CV8" s="47">
        <f t="shared" ref="CV8:CV37" si="9">AG8+BI8+CF8+CN8</f>
        <v>0</v>
      </c>
      <c r="CW8" s="47">
        <f t="shared" ref="CW8:CW37" si="10">AH8+BO8+CG8+CO8</f>
        <v>0</v>
      </c>
      <c r="CX8" s="47">
        <f t="shared" ref="CX8:CX37" si="11">AI8+BU8+CH8+CP8</f>
        <v>0</v>
      </c>
      <c r="CY8" s="47">
        <f t="shared" ref="CY8:CY37" si="12">AJ8+CA8+CI8+CQ8</f>
        <v>0</v>
      </c>
    </row>
    <row r="9" spans="2:103" x14ac:dyDescent="0.3">
      <c r="B9" s="7"/>
      <c r="C9" s="7"/>
      <c r="D9" s="7"/>
      <c r="E9" s="7" t="s">
        <v>45</v>
      </c>
      <c r="F9" s="7" t="s">
        <v>51</v>
      </c>
      <c r="G9" s="7" t="s">
        <v>167</v>
      </c>
      <c r="H9" s="45"/>
      <c r="I9" s="45"/>
      <c r="J9" s="45"/>
      <c r="K9" s="45"/>
      <c r="L9" s="45"/>
      <c r="M9" s="45"/>
      <c r="N9" s="45"/>
      <c r="O9" s="106"/>
      <c r="Q9" s="47"/>
      <c r="R9" s="47"/>
      <c r="S9" s="47"/>
      <c r="T9" s="47"/>
      <c r="U9" s="47"/>
      <c r="V9" s="47"/>
      <c r="W9" s="47"/>
      <c r="Y9" s="107"/>
      <c r="Z9" s="107"/>
      <c r="AA9" s="107"/>
      <c r="AB9" s="107"/>
      <c r="AD9" s="47"/>
      <c r="AE9" s="47"/>
      <c r="AF9" s="47"/>
      <c r="AG9" s="47"/>
      <c r="AH9" s="47"/>
      <c r="AI9" s="47"/>
      <c r="AJ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C9" s="47"/>
      <c r="CD9" s="47"/>
      <c r="CE9" s="47"/>
      <c r="CF9" s="47"/>
      <c r="CG9" s="47"/>
      <c r="CH9" s="47"/>
      <c r="CI9" s="47"/>
      <c r="CK9" s="83"/>
      <c r="CL9" s="83"/>
      <c r="CM9" s="83"/>
      <c r="CN9" s="83"/>
      <c r="CO9" s="83"/>
      <c r="CP9" s="83"/>
      <c r="CQ9" s="83"/>
      <c r="CS9" s="47">
        <f t="shared" si="7"/>
        <v>0</v>
      </c>
      <c r="CT9" s="47">
        <f t="shared" si="8"/>
        <v>0</v>
      </c>
      <c r="CU9" s="47">
        <f t="shared" si="8"/>
        <v>0</v>
      </c>
      <c r="CV9" s="47">
        <f t="shared" si="9"/>
        <v>0</v>
      </c>
      <c r="CW9" s="47">
        <f t="shared" si="10"/>
        <v>0</v>
      </c>
      <c r="CX9" s="47">
        <f t="shared" si="11"/>
        <v>0</v>
      </c>
      <c r="CY9" s="47">
        <f t="shared" si="12"/>
        <v>0</v>
      </c>
    </row>
    <row r="10" spans="2:103" x14ac:dyDescent="0.3">
      <c r="B10" s="7"/>
      <c r="C10" s="7"/>
      <c r="D10" s="7"/>
      <c r="E10" s="7" t="s">
        <v>45</v>
      </c>
      <c r="F10" s="7" t="s">
        <v>51</v>
      </c>
      <c r="G10" s="7" t="s">
        <v>167</v>
      </c>
      <c r="H10" s="45"/>
      <c r="I10" s="45"/>
      <c r="J10" s="45"/>
      <c r="K10" s="45"/>
      <c r="L10" s="45"/>
      <c r="M10" s="45"/>
      <c r="N10" s="45"/>
      <c r="O10" s="106"/>
      <c r="Q10" s="47"/>
      <c r="R10" s="47"/>
      <c r="S10" s="47"/>
      <c r="T10" s="47"/>
      <c r="U10" s="47"/>
      <c r="V10" s="47"/>
      <c r="W10" s="47"/>
      <c r="Y10" s="107"/>
      <c r="Z10" s="107"/>
      <c r="AA10" s="107"/>
      <c r="AB10" s="107"/>
      <c r="AD10" s="47"/>
      <c r="AE10" s="47"/>
      <c r="AF10" s="47"/>
      <c r="AG10" s="47"/>
      <c r="AH10" s="47"/>
      <c r="AI10" s="47"/>
      <c r="AJ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C10" s="47"/>
      <c r="CD10" s="47"/>
      <c r="CE10" s="47"/>
      <c r="CF10" s="47"/>
      <c r="CG10" s="47"/>
      <c r="CH10" s="47"/>
      <c r="CI10" s="47"/>
      <c r="CK10" s="83"/>
      <c r="CL10" s="83"/>
      <c r="CM10" s="83"/>
      <c r="CN10" s="83"/>
      <c r="CO10" s="83"/>
      <c r="CP10" s="83"/>
      <c r="CQ10" s="83"/>
      <c r="CS10" s="47">
        <f t="shared" si="7"/>
        <v>0</v>
      </c>
      <c r="CT10" s="47">
        <f t="shared" si="8"/>
        <v>0</v>
      </c>
      <c r="CU10" s="47">
        <f t="shared" si="8"/>
        <v>0</v>
      </c>
      <c r="CV10" s="47">
        <f t="shared" si="9"/>
        <v>0</v>
      </c>
      <c r="CW10" s="47">
        <f t="shared" si="10"/>
        <v>0</v>
      </c>
      <c r="CX10" s="47">
        <f t="shared" si="11"/>
        <v>0</v>
      </c>
      <c r="CY10" s="47">
        <f t="shared" si="12"/>
        <v>0</v>
      </c>
    </row>
    <row r="11" spans="2:103" x14ac:dyDescent="0.3">
      <c r="B11" s="7"/>
      <c r="C11" s="7"/>
      <c r="D11" s="7"/>
      <c r="E11" s="7" t="s">
        <v>45</v>
      </c>
      <c r="F11" s="7" t="s">
        <v>51</v>
      </c>
      <c r="G11" s="7" t="s">
        <v>167</v>
      </c>
      <c r="H11" s="7"/>
      <c r="I11" s="7"/>
      <c r="J11" s="7"/>
      <c r="K11" s="7"/>
      <c r="L11" s="7"/>
      <c r="M11" s="7"/>
      <c r="N11" s="7"/>
      <c r="O11" s="105"/>
      <c r="Q11" s="47"/>
      <c r="R11" s="47"/>
      <c r="S11" s="47"/>
      <c r="T11" s="47"/>
      <c r="U11" s="47"/>
      <c r="V11" s="47"/>
      <c r="W11" s="47"/>
      <c r="X11" s="52"/>
      <c r="Y11" s="107"/>
      <c r="Z11" s="107"/>
      <c r="AA11" s="107"/>
      <c r="AB11" s="107"/>
      <c r="AC11" s="52"/>
      <c r="AD11" s="47"/>
      <c r="AE11" s="47"/>
      <c r="AF11" s="47"/>
      <c r="AG11" s="47"/>
      <c r="AH11" s="47"/>
      <c r="AI11" s="47"/>
      <c r="AJ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C11" s="47"/>
      <c r="CD11" s="47"/>
      <c r="CE11" s="47"/>
      <c r="CF11" s="47"/>
      <c r="CG11" s="47"/>
      <c r="CH11" s="47"/>
      <c r="CI11" s="47"/>
      <c r="CK11" s="83"/>
      <c r="CL11" s="83"/>
      <c r="CM11" s="83"/>
      <c r="CN11" s="83"/>
      <c r="CO11" s="83"/>
      <c r="CP11" s="83"/>
      <c r="CQ11" s="83"/>
      <c r="CS11" s="47">
        <f t="shared" si="7"/>
        <v>0</v>
      </c>
      <c r="CT11" s="47">
        <f t="shared" si="8"/>
        <v>0</v>
      </c>
      <c r="CU11" s="47">
        <f t="shared" si="8"/>
        <v>0</v>
      </c>
      <c r="CV11" s="47">
        <f t="shared" si="9"/>
        <v>0</v>
      </c>
      <c r="CW11" s="47">
        <f t="shared" si="10"/>
        <v>0</v>
      </c>
      <c r="CX11" s="47">
        <f t="shared" si="11"/>
        <v>0</v>
      </c>
      <c r="CY11" s="47">
        <f t="shared" si="12"/>
        <v>0</v>
      </c>
    </row>
    <row r="12" spans="2:103" x14ac:dyDescent="0.3">
      <c r="B12" s="7"/>
      <c r="C12" s="7"/>
      <c r="D12" s="7"/>
      <c r="E12" s="7"/>
      <c r="F12" s="7"/>
      <c r="G12" s="7"/>
      <c r="H12" s="7"/>
      <c r="I12" s="7"/>
      <c r="J12" s="7"/>
      <c r="K12" s="7"/>
      <c r="L12" s="7"/>
      <c r="M12" s="7"/>
      <c r="N12" s="7"/>
      <c r="O12" s="105"/>
      <c r="Q12" s="47"/>
      <c r="R12" s="47"/>
      <c r="S12" s="47"/>
      <c r="T12" s="47"/>
      <c r="U12" s="47"/>
      <c r="V12" s="47"/>
      <c r="W12" s="47"/>
      <c r="Y12" s="107"/>
      <c r="Z12" s="107"/>
      <c r="AA12" s="107"/>
      <c r="AB12" s="107"/>
      <c r="AD12" s="47"/>
      <c r="AE12" s="47"/>
      <c r="AF12" s="47"/>
      <c r="AG12" s="47"/>
      <c r="AH12" s="47"/>
      <c r="AI12" s="47"/>
      <c r="AJ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C12" s="47"/>
      <c r="CD12" s="47"/>
      <c r="CE12" s="47"/>
      <c r="CF12" s="47"/>
      <c r="CG12" s="47"/>
      <c r="CH12" s="47"/>
      <c r="CI12" s="47"/>
      <c r="CK12" s="47"/>
      <c r="CL12" s="47"/>
      <c r="CM12" s="47"/>
      <c r="CN12" s="47"/>
      <c r="CO12" s="47"/>
      <c r="CP12" s="47"/>
      <c r="CQ12" s="47"/>
      <c r="CS12" s="47">
        <f t="shared" si="7"/>
        <v>0</v>
      </c>
      <c r="CT12" s="47">
        <f t="shared" si="8"/>
        <v>0</v>
      </c>
      <c r="CU12" s="47">
        <f t="shared" si="8"/>
        <v>0</v>
      </c>
      <c r="CV12" s="47">
        <f t="shared" si="9"/>
        <v>0</v>
      </c>
      <c r="CW12" s="47">
        <f t="shared" si="10"/>
        <v>0</v>
      </c>
      <c r="CX12" s="47">
        <f t="shared" si="11"/>
        <v>0</v>
      </c>
      <c r="CY12" s="47">
        <f t="shared" si="12"/>
        <v>0</v>
      </c>
    </row>
    <row r="13" spans="2:103" x14ac:dyDescent="0.3">
      <c r="B13" s="7"/>
      <c r="C13" s="7"/>
      <c r="D13" s="7"/>
      <c r="E13" s="7"/>
      <c r="F13" s="7"/>
      <c r="G13" s="7"/>
      <c r="H13" s="7"/>
      <c r="I13" s="7"/>
      <c r="J13" s="7"/>
      <c r="K13" s="7"/>
      <c r="L13" s="7"/>
      <c r="M13" s="7"/>
      <c r="N13" s="7"/>
      <c r="O13" s="105"/>
      <c r="Q13" s="47"/>
      <c r="R13" s="47"/>
      <c r="S13" s="47"/>
      <c r="T13" s="47"/>
      <c r="U13" s="47"/>
      <c r="V13" s="47"/>
      <c r="W13" s="47"/>
      <c r="Y13" s="107"/>
      <c r="Z13" s="107"/>
      <c r="AA13" s="107"/>
      <c r="AB13" s="107"/>
      <c r="AD13" s="47"/>
      <c r="AE13" s="47"/>
      <c r="AF13" s="47"/>
      <c r="AG13" s="47"/>
      <c r="AH13" s="47"/>
      <c r="AI13" s="47"/>
      <c r="AJ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C13" s="47"/>
      <c r="CD13" s="47"/>
      <c r="CE13" s="47"/>
      <c r="CF13" s="47"/>
      <c r="CG13" s="47"/>
      <c r="CH13" s="47"/>
      <c r="CI13" s="47"/>
      <c r="CK13" s="47"/>
      <c r="CL13" s="47"/>
      <c r="CM13" s="47"/>
      <c r="CN13" s="47"/>
      <c r="CO13" s="47"/>
      <c r="CP13" s="47"/>
      <c r="CQ13" s="47"/>
      <c r="CS13" s="47">
        <f t="shared" si="7"/>
        <v>0</v>
      </c>
      <c r="CT13" s="47">
        <f t="shared" si="8"/>
        <v>0</v>
      </c>
      <c r="CU13" s="47">
        <f t="shared" si="8"/>
        <v>0</v>
      </c>
      <c r="CV13" s="47">
        <f t="shared" si="9"/>
        <v>0</v>
      </c>
      <c r="CW13" s="47">
        <f t="shared" si="10"/>
        <v>0</v>
      </c>
      <c r="CX13" s="47">
        <f t="shared" si="11"/>
        <v>0</v>
      </c>
      <c r="CY13" s="47">
        <f t="shared" si="12"/>
        <v>0</v>
      </c>
    </row>
    <row r="14" spans="2:103" x14ac:dyDescent="0.3">
      <c r="B14" s="7"/>
      <c r="C14" s="7"/>
      <c r="D14" s="7"/>
      <c r="E14" s="7"/>
      <c r="F14" s="7"/>
      <c r="G14" s="7"/>
      <c r="H14" s="7"/>
      <c r="I14" s="7"/>
      <c r="J14" s="7"/>
      <c r="K14" s="7"/>
      <c r="L14" s="7"/>
      <c r="M14" s="7"/>
      <c r="N14" s="7"/>
      <c r="O14" s="105"/>
      <c r="Q14" s="47"/>
      <c r="R14" s="47"/>
      <c r="S14" s="47"/>
      <c r="T14" s="47"/>
      <c r="U14" s="47"/>
      <c r="V14" s="47"/>
      <c r="W14" s="47"/>
      <c r="Y14" s="107"/>
      <c r="Z14" s="107"/>
      <c r="AA14" s="107"/>
      <c r="AB14" s="107"/>
      <c r="AD14" s="47"/>
      <c r="AE14" s="47"/>
      <c r="AF14" s="47"/>
      <c r="AG14" s="47"/>
      <c r="AH14" s="47"/>
      <c r="AI14" s="47"/>
      <c r="AJ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C14" s="47"/>
      <c r="CD14" s="47"/>
      <c r="CE14" s="47"/>
      <c r="CF14" s="47"/>
      <c r="CG14" s="47"/>
      <c r="CH14" s="47"/>
      <c r="CI14" s="47"/>
      <c r="CK14" s="47"/>
      <c r="CL14" s="47"/>
      <c r="CM14" s="47"/>
      <c r="CN14" s="47"/>
      <c r="CO14" s="47"/>
      <c r="CP14" s="47"/>
      <c r="CQ14" s="47"/>
      <c r="CS14" s="47">
        <f t="shared" si="7"/>
        <v>0</v>
      </c>
      <c r="CT14" s="47">
        <f t="shared" si="8"/>
        <v>0</v>
      </c>
      <c r="CU14" s="47">
        <f t="shared" si="8"/>
        <v>0</v>
      </c>
      <c r="CV14" s="47">
        <f t="shared" si="9"/>
        <v>0</v>
      </c>
      <c r="CW14" s="47">
        <f t="shared" si="10"/>
        <v>0</v>
      </c>
      <c r="CX14" s="47">
        <f t="shared" si="11"/>
        <v>0</v>
      </c>
      <c r="CY14" s="47">
        <f t="shared" si="12"/>
        <v>0</v>
      </c>
    </row>
    <row r="15" spans="2:103" x14ac:dyDescent="0.3">
      <c r="B15" s="7"/>
      <c r="C15" s="7"/>
      <c r="D15" s="7"/>
      <c r="E15" s="7"/>
      <c r="F15" s="7"/>
      <c r="G15" s="7"/>
      <c r="H15" s="7"/>
      <c r="I15" s="7"/>
      <c r="J15" s="7"/>
      <c r="K15" s="7"/>
      <c r="L15" s="7"/>
      <c r="M15" s="7"/>
      <c r="N15" s="7"/>
      <c r="O15" s="105"/>
      <c r="Q15" s="47"/>
      <c r="R15" s="47"/>
      <c r="S15" s="47"/>
      <c r="T15" s="47"/>
      <c r="U15" s="47"/>
      <c r="V15" s="47"/>
      <c r="W15" s="47"/>
      <c r="Y15" s="107"/>
      <c r="Z15" s="107"/>
      <c r="AA15" s="107"/>
      <c r="AB15" s="107"/>
      <c r="AD15" s="47"/>
      <c r="AE15" s="47"/>
      <c r="AF15" s="47"/>
      <c r="AG15" s="47"/>
      <c r="AH15" s="47"/>
      <c r="AI15" s="47"/>
      <c r="AJ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C15" s="47"/>
      <c r="CD15" s="47"/>
      <c r="CE15" s="47"/>
      <c r="CF15" s="47"/>
      <c r="CG15" s="47"/>
      <c r="CH15" s="47"/>
      <c r="CI15" s="47"/>
      <c r="CK15" s="47"/>
      <c r="CL15" s="47"/>
      <c r="CM15" s="47"/>
      <c r="CN15" s="47"/>
      <c r="CO15" s="47"/>
      <c r="CP15" s="47"/>
      <c r="CQ15" s="47"/>
      <c r="CS15" s="47">
        <f t="shared" si="7"/>
        <v>0</v>
      </c>
      <c r="CT15" s="47">
        <f t="shared" si="8"/>
        <v>0</v>
      </c>
      <c r="CU15" s="47">
        <f t="shared" si="8"/>
        <v>0</v>
      </c>
      <c r="CV15" s="47">
        <f t="shared" si="9"/>
        <v>0</v>
      </c>
      <c r="CW15" s="47">
        <f t="shared" si="10"/>
        <v>0</v>
      </c>
      <c r="CX15" s="47">
        <f t="shared" si="11"/>
        <v>0</v>
      </c>
      <c r="CY15" s="47">
        <f t="shared" si="12"/>
        <v>0</v>
      </c>
    </row>
    <row r="16" spans="2:103" x14ac:dyDescent="0.3">
      <c r="B16" s="7"/>
      <c r="C16" s="7"/>
      <c r="D16" s="7"/>
      <c r="E16" s="7"/>
      <c r="F16" s="7"/>
      <c r="G16" s="7"/>
      <c r="H16" s="7"/>
      <c r="I16" s="7"/>
      <c r="J16" s="7"/>
      <c r="K16" s="7"/>
      <c r="L16" s="7"/>
      <c r="M16" s="7"/>
      <c r="N16" s="7"/>
      <c r="O16" s="105"/>
      <c r="Q16" s="47"/>
      <c r="R16" s="47"/>
      <c r="S16" s="47"/>
      <c r="T16" s="47"/>
      <c r="U16" s="47"/>
      <c r="V16" s="47"/>
      <c r="W16" s="47"/>
      <c r="Y16" s="107"/>
      <c r="Z16" s="107"/>
      <c r="AA16" s="107"/>
      <c r="AB16" s="107"/>
      <c r="AD16" s="47"/>
      <c r="AE16" s="47"/>
      <c r="AF16" s="47"/>
      <c r="AG16" s="47"/>
      <c r="AH16" s="47"/>
      <c r="AI16" s="47"/>
      <c r="AJ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C16" s="47"/>
      <c r="CD16" s="47"/>
      <c r="CE16" s="47"/>
      <c r="CF16" s="47"/>
      <c r="CG16" s="47"/>
      <c r="CH16" s="47"/>
      <c r="CI16" s="47"/>
      <c r="CK16" s="47"/>
      <c r="CL16" s="47"/>
      <c r="CM16" s="47"/>
      <c r="CN16" s="47"/>
      <c r="CO16" s="47"/>
      <c r="CP16" s="47"/>
      <c r="CQ16" s="47"/>
      <c r="CS16" s="47">
        <f t="shared" si="7"/>
        <v>0</v>
      </c>
      <c r="CT16" s="47">
        <f t="shared" si="8"/>
        <v>0</v>
      </c>
      <c r="CU16" s="47">
        <f t="shared" si="8"/>
        <v>0</v>
      </c>
      <c r="CV16" s="47">
        <f t="shared" si="9"/>
        <v>0</v>
      </c>
      <c r="CW16" s="47">
        <f t="shared" si="10"/>
        <v>0</v>
      </c>
      <c r="CX16" s="47">
        <f t="shared" si="11"/>
        <v>0</v>
      </c>
      <c r="CY16" s="47">
        <f t="shared" si="12"/>
        <v>0</v>
      </c>
    </row>
    <row r="17" spans="2:103" x14ac:dyDescent="0.3">
      <c r="B17" s="7"/>
      <c r="C17" s="7"/>
      <c r="D17" s="7"/>
      <c r="E17" s="7"/>
      <c r="F17" s="7"/>
      <c r="G17" s="7"/>
      <c r="H17" s="7"/>
      <c r="I17" s="7"/>
      <c r="J17" s="7"/>
      <c r="K17" s="7"/>
      <c r="L17" s="7"/>
      <c r="M17" s="7"/>
      <c r="N17" s="7"/>
      <c r="O17" s="105"/>
      <c r="Q17" s="47"/>
      <c r="R17" s="47"/>
      <c r="S17" s="47"/>
      <c r="T17" s="47"/>
      <c r="U17" s="47"/>
      <c r="V17" s="47"/>
      <c r="W17" s="47"/>
      <c r="Y17" s="107"/>
      <c r="Z17" s="107"/>
      <c r="AA17" s="107"/>
      <c r="AB17" s="107"/>
      <c r="AD17" s="47"/>
      <c r="AE17" s="47"/>
      <c r="AF17" s="47"/>
      <c r="AG17" s="47"/>
      <c r="AH17" s="47"/>
      <c r="AI17" s="47"/>
      <c r="AJ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C17" s="47"/>
      <c r="CD17" s="47"/>
      <c r="CE17" s="47"/>
      <c r="CF17" s="47"/>
      <c r="CG17" s="47"/>
      <c r="CH17" s="47"/>
      <c r="CI17" s="47"/>
      <c r="CK17" s="47"/>
      <c r="CL17" s="47"/>
      <c r="CM17" s="47"/>
      <c r="CN17" s="47"/>
      <c r="CO17" s="47"/>
      <c r="CP17" s="47"/>
      <c r="CQ17" s="47"/>
      <c r="CS17" s="47">
        <f t="shared" si="7"/>
        <v>0</v>
      </c>
      <c r="CT17" s="47">
        <f t="shared" si="8"/>
        <v>0</v>
      </c>
      <c r="CU17" s="47">
        <f t="shared" si="8"/>
        <v>0</v>
      </c>
      <c r="CV17" s="47">
        <f t="shared" si="9"/>
        <v>0</v>
      </c>
      <c r="CW17" s="47">
        <f t="shared" si="10"/>
        <v>0</v>
      </c>
      <c r="CX17" s="47">
        <f t="shared" si="11"/>
        <v>0</v>
      </c>
      <c r="CY17" s="47">
        <f t="shared" si="12"/>
        <v>0</v>
      </c>
    </row>
    <row r="18" spans="2:103" x14ac:dyDescent="0.3">
      <c r="B18" s="7"/>
      <c r="C18" s="7"/>
      <c r="D18" s="7"/>
      <c r="E18" s="7"/>
      <c r="F18" s="7"/>
      <c r="G18" s="7"/>
      <c r="H18" s="7"/>
      <c r="I18" s="7"/>
      <c r="J18" s="7"/>
      <c r="K18" s="7"/>
      <c r="L18" s="7"/>
      <c r="M18" s="7"/>
      <c r="N18" s="7"/>
      <c r="O18" s="105"/>
      <c r="Q18" s="47"/>
      <c r="R18" s="47"/>
      <c r="S18" s="47"/>
      <c r="T18" s="47"/>
      <c r="U18" s="47"/>
      <c r="V18" s="47"/>
      <c r="W18" s="47"/>
      <c r="Y18" s="107"/>
      <c r="Z18" s="107"/>
      <c r="AA18" s="107"/>
      <c r="AB18" s="107"/>
      <c r="AD18" s="47"/>
      <c r="AE18" s="47"/>
      <c r="AF18" s="47"/>
      <c r="AG18" s="47"/>
      <c r="AH18" s="47"/>
      <c r="AI18" s="47"/>
      <c r="AJ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C18" s="47"/>
      <c r="CD18" s="47"/>
      <c r="CE18" s="47"/>
      <c r="CF18" s="47"/>
      <c r="CG18" s="47"/>
      <c r="CH18" s="47"/>
      <c r="CI18" s="47"/>
      <c r="CK18" s="47"/>
      <c r="CL18" s="47"/>
      <c r="CM18" s="47"/>
      <c r="CN18" s="47"/>
      <c r="CO18" s="47"/>
      <c r="CP18" s="47"/>
      <c r="CQ18" s="47"/>
      <c r="CS18" s="47">
        <f t="shared" si="7"/>
        <v>0</v>
      </c>
      <c r="CT18" s="47">
        <f t="shared" si="8"/>
        <v>0</v>
      </c>
      <c r="CU18" s="47">
        <f t="shared" si="8"/>
        <v>0</v>
      </c>
      <c r="CV18" s="47">
        <f t="shared" si="9"/>
        <v>0</v>
      </c>
      <c r="CW18" s="47">
        <f t="shared" si="10"/>
        <v>0</v>
      </c>
      <c r="CX18" s="47">
        <f t="shared" si="11"/>
        <v>0</v>
      </c>
      <c r="CY18" s="47">
        <f t="shared" si="12"/>
        <v>0</v>
      </c>
    </row>
    <row r="19" spans="2:103" x14ac:dyDescent="0.3">
      <c r="B19" s="7"/>
      <c r="C19" s="7"/>
      <c r="D19" s="7"/>
      <c r="E19" s="7"/>
      <c r="F19" s="7"/>
      <c r="G19" s="7"/>
      <c r="H19" s="7"/>
      <c r="I19" s="7"/>
      <c r="J19" s="7"/>
      <c r="K19" s="7"/>
      <c r="L19" s="7"/>
      <c r="M19" s="7"/>
      <c r="N19" s="7"/>
      <c r="O19" s="105"/>
      <c r="Q19" s="47"/>
      <c r="R19" s="47"/>
      <c r="S19" s="47"/>
      <c r="T19" s="47"/>
      <c r="U19" s="47"/>
      <c r="V19" s="47"/>
      <c r="W19" s="47"/>
      <c r="Y19" s="107"/>
      <c r="Z19" s="107"/>
      <c r="AA19" s="107"/>
      <c r="AB19" s="107"/>
      <c r="AD19" s="47"/>
      <c r="AE19" s="47"/>
      <c r="AF19" s="47"/>
      <c r="AG19" s="47"/>
      <c r="AH19" s="47"/>
      <c r="AI19" s="47"/>
      <c r="AJ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C19" s="47"/>
      <c r="CD19" s="47"/>
      <c r="CE19" s="47"/>
      <c r="CF19" s="47"/>
      <c r="CG19" s="47"/>
      <c r="CH19" s="47"/>
      <c r="CI19" s="47"/>
      <c r="CK19" s="47"/>
      <c r="CL19" s="47"/>
      <c r="CM19" s="47"/>
      <c r="CN19" s="47"/>
      <c r="CO19" s="47"/>
      <c r="CP19" s="47"/>
      <c r="CQ19" s="47"/>
      <c r="CS19" s="47">
        <f t="shared" si="7"/>
        <v>0</v>
      </c>
      <c r="CT19" s="47">
        <f t="shared" si="8"/>
        <v>0</v>
      </c>
      <c r="CU19" s="47">
        <f t="shared" si="8"/>
        <v>0</v>
      </c>
      <c r="CV19" s="47">
        <f t="shared" si="9"/>
        <v>0</v>
      </c>
      <c r="CW19" s="47">
        <f t="shared" si="10"/>
        <v>0</v>
      </c>
      <c r="CX19" s="47">
        <f t="shared" si="11"/>
        <v>0</v>
      </c>
      <c r="CY19" s="47">
        <f t="shared" si="12"/>
        <v>0</v>
      </c>
    </row>
    <row r="20" spans="2:103" x14ac:dyDescent="0.3">
      <c r="B20" s="7"/>
      <c r="C20" s="7"/>
      <c r="D20" s="7"/>
      <c r="E20" s="7"/>
      <c r="F20" s="7"/>
      <c r="G20" s="7"/>
      <c r="H20" s="7"/>
      <c r="I20" s="7"/>
      <c r="J20" s="7"/>
      <c r="K20" s="7"/>
      <c r="L20" s="7"/>
      <c r="M20" s="7"/>
      <c r="N20" s="7"/>
      <c r="O20" s="105"/>
      <c r="Q20" s="47"/>
      <c r="R20" s="47"/>
      <c r="S20" s="47"/>
      <c r="T20" s="47"/>
      <c r="U20" s="47"/>
      <c r="V20" s="47"/>
      <c r="W20" s="47"/>
      <c r="Y20" s="107"/>
      <c r="Z20" s="107"/>
      <c r="AA20" s="107"/>
      <c r="AB20" s="107"/>
      <c r="AD20" s="47"/>
      <c r="AE20" s="47"/>
      <c r="AF20" s="47"/>
      <c r="AG20" s="47"/>
      <c r="AH20" s="47"/>
      <c r="AI20" s="47"/>
      <c r="AJ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C20" s="47"/>
      <c r="CD20" s="47"/>
      <c r="CE20" s="47"/>
      <c r="CF20" s="47"/>
      <c r="CG20" s="47"/>
      <c r="CH20" s="47"/>
      <c r="CI20" s="47"/>
      <c r="CK20" s="47"/>
      <c r="CL20" s="47"/>
      <c r="CM20" s="47"/>
      <c r="CN20" s="47"/>
      <c r="CO20" s="47"/>
      <c r="CP20" s="47"/>
      <c r="CQ20" s="47"/>
      <c r="CS20" s="47">
        <f t="shared" si="7"/>
        <v>0</v>
      </c>
      <c r="CT20" s="47">
        <f t="shared" si="8"/>
        <v>0</v>
      </c>
      <c r="CU20" s="47">
        <f t="shared" si="8"/>
        <v>0</v>
      </c>
      <c r="CV20" s="47">
        <f t="shared" si="9"/>
        <v>0</v>
      </c>
      <c r="CW20" s="47">
        <f t="shared" si="10"/>
        <v>0</v>
      </c>
      <c r="CX20" s="47">
        <f t="shared" si="11"/>
        <v>0</v>
      </c>
      <c r="CY20" s="47">
        <f t="shared" si="12"/>
        <v>0</v>
      </c>
    </row>
    <row r="21" spans="2:103" x14ac:dyDescent="0.3">
      <c r="B21" s="7"/>
      <c r="C21" s="7"/>
      <c r="D21" s="7"/>
      <c r="E21" s="7"/>
      <c r="F21" s="7"/>
      <c r="G21" s="7"/>
      <c r="H21" s="7"/>
      <c r="I21" s="7"/>
      <c r="J21" s="7"/>
      <c r="K21" s="7"/>
      <c r="L21" s="7"/>
      <c r="M21" s="7"/>
      <c r="N21" s="7"/>
      <c r="O21" s="105"/>
      <c r="Q21" s="47"/>
      <c r="R21" s="47"/>
      <c r="S21" s="47"/>
      <c r="T21" s="47"/>
      <c r="U21" s="47"/>
      <c r="V21" s="47"/>
      <c r="W21" s="47"/>
      <c r="Y21" s="107"/>
      <c r="Z21" s="107"/>
      <c r="AA21" s="107"/>
      <c r="AB21" s="107"/>
      <c r="AD21" s="47"/>
      <c r="AE21" s="47"/>
      <c r="AF21" s="47"/>
      <c r="AG21" s="47"/>
      <c r="AH21" s="47"/>
      <c r="AI21" s="47"/>
      <c r="AJ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C21" s="47"/>
      <c r="CD21" s="47"/>
      <c r="CE21" s="47"/>
      <c r="CF21" s="47"/>
      <c r="CG21" s="47"/>
      <c r="CH21" s="47"/>
      <c r="CI21" s="47"/>
      <c r="CK21" s="47"/>
      <c r="CL21" s="47"/>
      <c r="CM21" s="47"/>
      <c r="CN21" s="47"/>
      <c r="CO21" s="47"/>
      <c r="CP21" s="47"/>
      <c r="CQ21" s="47"/>
      <c r="CS21" s="47">
        <f t="shared" si="7"/>
        <v>0</v>
      </c>
      <c r="CT21" s="47">
        <f t="shared" si="8"/>
        <v>0</v>
      </c>
      <c r="CU21" s="47">
        <f t="shared" si="8"/>
        <v>0</v>
      </c>
      <c r="CV21" s="47">
        <f t="shared" si="9"/>
        <v>0</v>
      </c>
      <c r="CW21" s="47">
        <f t="shared" si="10"/>
        <v>0</v>
      </c>
      <c r="CX21" s="47">
        <f t="shared" si="11"/>
        <v>0</v>
      </c>
      <c r="CY21" s="47">
        <f t="shared" si="12"/>
        <v>0</v>
      </c>
    </row>
    <row r="22" spans="2:103" x14ac:dyDescent="0.3">
      <c r="B22" s="7"/>
      <c r="C22" s="7"/>
      <c r="D22" s="7"/>
      <c r="E22" s="7"/>
      <c r="F22" s="7"/>
      <c r="G22" s="7"/>
      <c r="H22" s="7"/>
      <c r="I22" s="7"/>
      <c r="J22" s="7"/>
      <c r="K22" s="7"/>
      <c r="L22" s="7"/>
      <c r="M22" s="7"/>
      <c r="N22" s="7"/>
      <c r="O22" s="105"/>
      <c r="Q22" s="47"/>
      <c r="R22" s="47"/>
      <c r="S22" s="47"/>
      <c r="T22" s="47"/>
      <c r="U22" s="47"/>
      <c r="V22" s="47"/>
      <c r="W22" s="47"/>
      <c r="Y22" s="107"/>
      <c r="Z22" s="107"/>
      <c r="AA22" s="107"/>
      <c r="AB22" s="107"/>
      <c r="AD22" s="47"/>
      <c r="AE22" s="47"/>
      <c r="AF22" s="47"/>
      <c r="AG22" s="47"/>
      <c r="AH22" s="47"/>
      <c r="AI22" s="47"/>
      <c r="AJ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C22" s="47"/>
      <c r="CD22" s="47"/>
      <c r="CE22" s="47"/>
      <c r="CF22" s="47"/>
      <c r="CG22" s="47"/>
      <c r="CH22" s="47"/>
      <c r="CI22" s="47"/>
      <c r="CK22" s="47"/>
      <c r="CL22" s="47"/>
      <c r="CM22" s="47"/>
      <c r="CN22" s="47"/>
      <c r="CO22" s="47"/>
      <c r="CP22" s="47"/>
      <c r="CQ22" s="47"/>
      <c r="CS22" s="47">
        <f t="shared" si="7"/>
        <v>0</v>
      </c>
      <c r="CT22" s="47">
        <f t="shared" si="8"/>
        <v>0</v>
      </c>
      <c r="CU22" s="47">
        <f t="shared" si="8"/>
        <v>0</v>
      </c>
      <c r="CV22" s="47">
        <f t="shared" si="9"/>
        <v>0</v>
      </c>
      <c r="CW22" s="47">
        <f t="shared" si="10"/>
        <v>0</v>
      </c>
      <c r="CX22" s="47">
        <f t="shared" si="11"/>
        <v>0</v>
      </c>
      <c r="CY22" s="47">
        <f t="shared" si="12"/>
        <v>0</v>
      </c>
    </row>
    <row r="23" spans="2:103" x14ac:dyDescent="0.3">
      <c r="B23" s="7"/>
      <c r="C23" s="7"/>
      <c r="D23" s="7"/>
      <c r="E23" s="7"/>
      <c r="F23" s="7"/>
      <c r="G23" s="7"/>
      <c r="H23" s="7"/>
      <c r="I23" s="7"/>
      <c r="J23" s="7"/>
      <c r="K23" s="7"/>
      <c r="L23" s="7"/>
      <c r="M23" s="7"/>
      <c r="N23" s="7"/>
      <c r="O23" s="105"/>
      <c r="Q23" s="47"/>
      <c r="R23" s="47"/>
      <c r="S23" s="47"/>
      <c r="T23" s="47"/>
      <c r="U23" s="47"/>
      <c r="V23" s="47"/>
      <c r="W23" s="47"/>
      <c r="Y23" s="107"/>
      <c r="Z23" s="107"/>
      <c r="AA23" s="107"/>
      <c r="AB23" s="107"/>
      <c r="AD23" s="47"/>
      <c r="AE23" s="47"/>
      <c r="AF23" s="47"/>
      <c r="AG23" s="47"/>
      <c r="AH23" s="47"/>
      <c r="AI23" s="47"/>
      <c r="AJ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C23" s="47"/>
      <c r="CD23" s="47"/>
      <c r="CE23" s="47"/>
      <c r="CF23" s="47"/>
      <c r="CG23" s="47"/>
      <c r="CH23" s="47"/>
      <c r="CI23" s="47"/>
      <c r="CK23" s="47"/>
      <c r="CL23" s="47"/>
      <c r="CM23" s="47"/>
      <c r="CN23" s="47"/>
      <c r="CO23" s="47"/>
      <c r="CP23" s="47"/>
      <c r="CQ23" s="47"/>
      <c r="CS23" s="47">
        <f t="shared" si="7"/>
        <v>0</v>
      </c>
      <c r="CT23" s="47">
        <f t="shared" si="8"/>
        <v>0</v>
      </c>
      <c r="CU23" s="47">
        <f t="shared" si="8"/>
        <v>0</v>
      </c>
      <c r="CV23" s="47">
        <f t="shared" si="9"/>
        <v>0</v>
      </c>
      <c r="CW23" s="47">
        <f t="shared" si="10"/>
        <v>0</v>
      </c>
      <c r="CX23" s="47">
        <f t="shared" si="11"/>
        <v>0</v>
      </c>
      <c r="CY23" s="47">
        <f t="shared" si="12"/>
        <v>0</v>
      </c>
    </row>
    <row r="24" spans="2:103" x14ac:dyDescent="0.3">
      <c r="B24" s="7"/>
      <c r="C24" s="7"/>
      <c r="D24" s="7"/>
      <c r="E24" s="7"/>
      <c r="F24" s="7"/>
      <c r="G24" s="7"/>
      <c r="H24" s="7"/>
      <c r="I24" s="7"/>
      <c r="J24" s="7"/>
      <c r="K24" s="7"/>
      <c r="L24" s="7"/>
      <c r="M24" s="7"/>
      <c r="N24" s="7"/>
      <c r="O24" s="105"/>
      <c r="Q24" s="47"/>
      <c r="R24" s="47"/>
      <c r="S24" s="47"/>
      <c r="T24" s="47"/>
      <c r="U24" s="47"/>
      <c r="V24" s="47"/>
      <c r="W24" s="47"/>
      <c r="Y24" s="107"/>
      <c r="Z24" s="107"/>
      <c r="AA24" s="107"/>
      <c r="AB24" s="107"/>
      <c r="AD24" s="47"/>
      <c r="AE24" s="47"/>
      <c r="AF24" s="47"/>
      <c r="AG24" s="47"/>
      <c r="AH24" s="47"/>
      <c r="AI24" s="47"/>
      <c r="AJ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C24" s="47"/>
      <c r="CD24" s="47"/>
      <c r="CE24" s="47"/>
      <c r="CF24" s="47"/>
      <c r="CG24" s="47"/>
      <c r="CH24" s="47"/>
      <c r="CI24" s="47"/>
      <c r="CK24" s="47"/>
      <c r="CL24" s="47"/>
      <c r="CM24" s="47"/>
      <c r="CN24" s="47"/>
      <c r="CO24" s="47"/>
      <c r="CP24" s="47"/>
      <c r="CQ24" s="47"/>
      <c r="CS24" s="47">
        <f t="shared" si="7"/>
        <v>0</v>
      </c>
      <c r="CT24" s="47">
        <f t="shared" si="8"/>
        <v>0</v>
      </c>
      <c r="CU24" s="47">
        <f t="shared" si="8"/>
        <v>0</v>
      </c>
      <c r="CV24" s="47">
        <f t="shared" si="9"/>
        <v>0</v>
      </c>
      <c r="CW24" s="47">
        <f t="shared" si="10"/>
        <v>0</v>
      </c>
      <c r="CX24" s="47">
        <f t="shared" si="11"/>
        <v>0</v>
      </c>
      <c r="CY24" s="47">
        <f t="shared" si="12"/>
        <v>0</v>
      </c>
    </row>
    <row r="25" spans="2:103" x14ac:dyDescent="0.3">
      <c r="B25" s="7"/>
      <c r="C25" s="7"/>
      <c r="D25" s="7"/>
      <c r="E25" s="7"/>
      <c r="F25" s="7"/>
      <c r="G25" s="7"/>
      <c r="H25" s="7"/>
      <c r="I25" s="7"/>
      <c r="J25" s="7"/>
      <c r="K25" s="7"/>
      <c r="L25" s="7"/>
      <c r="M25" s="7"/>
      <c r="N25" s="7"/>
      <c r="O25" s="105"/>
      <c r="Q25" s="47"/>
      <c r="R25" s="47"/>
      <c r="S25" s="47"/>
      <c r="T25" s="47"/>
      <c r="U25" s="47"/>
      <c r="V25" s="47"/>
      <c r="W25" s="47"/>
      <c r="Y25" s="107"/>
      <c r="Z25" s="107"/>
      <c r="AA25" s="107"/>
      <c r="AB25" s="107"/>
      <c r="AD25" s="47"/>
      <c r="AE25" s="47"/>
      <c r="AF25" s="47"/>
      <c r="AG25" s="47"/>
      <c r="AH25" s="47"/>
      <c r="AI25" s="47"/>
      <c r="AJ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C25" s="47"/>
      <c r="CD25" s="47"/>
      <c r="CE25" s="47"/>
      <c r="CF25" s="47"/>
      <c r="CG25" s="47"/>
      <c r="CH25" s="47"/>
      <c r="CI25" s="47"/>
      <c r="CK25" s="47"/>
      <c r="CL25" s="47"/>
      <c r="CM25" s="47"/>
      <c r="CN25" s="47"/>
      <c r="CO25" s="47"/>
      <c r="CP25" s="47"/>
      <c r="CQ25" s="47"/>
      <c r="CS25" s="47">
        <f t="shared" si="7"/>
        <v>0</v>
      </c>
      <c r="CT25" s="47">
        <f t="shared" si="8"/>
        <v>0</v>
      </c>
      <c r="CU25" s="47">
        <f t="shared" si="8"/>
        <v>0</v>
      </c>
      <c r="CV25" s="47">
        <f t="shared" si="9"/>
        <v>0</v>
      </c>
      <c r="CW25" s="47">
        <f t="shared" si="10"/>
        <v>0</v>
      </c>
      <c r="CX25" s="47">
        <f t="shared" si="11"/>
        <v>0</v>
      </c>
      <c r="CY25" s="47">
        <f t="shared" si="12"/>
        <v>0</v>
      </c>
    </row>
    <row r="26" spans="2:103" x14ac:dyDescent="0.3">
      <c r="B26" s="7"/>
      <c r="C26" s="7"/>
      <c r="D26" s="7"/>
      <c r="E26" s="7"/>
      <c r="F26" s="7"/>
      <c r="G26" s="7"/>
      <c r="H26" s="7"/>
      <c r="I26" s="7"/>
      <c r="J26" s="7"/>
      <c r="K26" s="7"/>
      <c r="L26" s="7"/>
      <c r="M26" s="7"/>
      <c r="N26" s="7"/>
      <c r="O26" s="105"/>
      <c r="Q26" s="47"/>
      <c r="R26" s="47"/>
      <c r="S26" s="47"/>
      <c r="T26" s="47"/>
      <c r="U26" s="47"/>
      <c r="V26" s="47"/>
      <c r="W26" s="47"/>
      <c r="Y26" s="107"/>
      <c r="Z26" s="107"/>
      <c r="AA26" s="107"/>
      <c r="AB26" s="107"/>
      <c r="AD26" s="47"/>
      <c r="AE26" s="47"/>
      <c r="AF26" s="47"/>
      <c r="AG26" s="47"/>
      <c r="AH26" s="47"/>
      <c r="AI26" s="47"/>
      <c r="AJ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C26" s="47"/>
      <c r="CD26" s="47"/>
      <c r="CE26" s="47"/>
      <c r="CF26" s="47"/>
      <c r="CG26" s="47"/>
      <c r="CH26" s="47"/>
      <c r="CI26" s="47"/>
      <c r="CK26" s="47"/>
      <c r="CL26" s="47"/>
      <c r="CM26" s="47"/>
      <c r="CN26" s="47"/>
      <c r="CO26" s="47"/>
      <c r="CP26" s="47"/>
      <c r="CQ26" s="47"/>
      <c r="CS26" s="47">
        <f t="shared" si="7"/>
        <v>0</v>
      </c>
      <c r="CT26" s="47">
        <f t="shared" si="8"/>
        <v>0</v>
      </c>
      <c r="CU26" s="47">
        <f t="shared" si="8"/>
        <v>0</v>
      </c>
      <c r="CV26" s="47">
        <f t="shared" si="9"/>
        <v>0</v>
      </c>
      <c r="CW26" s="47">
        <f t="shared" si="10"/>
        <v>0</v>
      </c>
      <c r="CX26" s="47">
        <f t="shared" si="11"/>
        <v>0</v>
      </c>
      <c r="CY26" s="47">
        <f t="shared" si="12"/>
        <v>0</v>
      </c>
    </row>
    <row r="27" spans="2:103" x14ac:dyDescent="0.3">
      <c r="B27" s="7"/>
      <c r="C27" s="7"/>
      <c r="D27" s="7"/>
      <c r="E27" s="7"/>
      <c r="F27" s="7"/>
      <c r="G27" s="7"/>
      <c r="H27" s="7"/>
      <c r="I27" s="7"/>
      <c r="J27" s="7"/>
      <c r="K27" s="7"/>
      <c r="L27" s="7"/>
      <c r="M27" s="7"/>
      <c r="N27" s="7"/>
      <c r="O27" s="105"/>
      <c r="Q27" s="47"/>
      <c r="R27" s="47"/>
      <c r="S27" s="47"/>
      <c r="T27" s="47"/>
      <c r="U27" s="47"/>
      <c r="V27" s="47"/>
      <c r="W27" s="47"/>
      <c r="Y27" s="107"/>
      <c r="Z27" s="107"/>
      <c r="AA27" s="107"/>
      <c r="AB27" s="107"/>
      <c r="AD27" s="47"/>
      <c r="AE27" s="47"/>
      <c r="AF27" s="47"/>
      <c r="AG27" s="47"/>
      <c r="AH27" s="47"/>
      <c r="AI27" s="47"/>
      <c r="AJ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C27" s="47"/>
      <c r="CD27" s="47"/>
      <c r="CE27" s="47"/>
      <c r="CF27" s="47"/>
      <c r="CG27" s="47"/>
      <c r="CH27" s="47"/>
      <c r="CI27" s="47"/>
      <c r="CK27" s="47"/>
      <c r="CL27" s="47"/>
      <c r="CM27" s="47"/>
      <c r="CN27" s="47"/>
      <c r="CO27" s="47"/>
      <c r="CP27" s="47"/>
      <c r="CQ27" s="47"/>
      <c r="CS27" s="47">
        <f t="shared" si="7"/>
        <v>0</v>
      </c>
      <c r="CT27" s="47">
        <f t="shared" si="8"/>
        <v>0</v>
      </c>
      <c r="CU27" s="47">
        <f t="shared" si="8"/>
        <v>0</v>
      </c>
      <c r="CV27" s="47">
        <f t="shared" si="9"/>
        <v>0</v>
      </c>
      <c r="CW27" s="47">
        <f t="shared" si="10"/>
        <v>0</v>
      </c>
      <c r="CX27" s="47">
        <f t="shared" si="11"/>
        <v>0</v>
      </c>
      <c r="CY27" s="47">
        <f t="shared" si="12"/>
        <v>0</v>
      </c>
    </row>
    <row r="28" spans="2:103" x14ac:dyDescent="0.3">
      <c r="B28" s="7"/>
      <c r="C28" s="7"/>
      <c r="D28" s="7"/>
      <c r="E28" s="7"/>
      <c r="F28" s="7"/>
      <c r="G28" s="7"/>
      <c r="H28" s="7"/>
      <c r="I28" s="7"/>
      <c r="J28" s="7"/>
      <c r="K28" s="7"/>
      <c r="L28" s="7"/>
      <c r="M28" s="7"/>
      <c r="N28" s="7"/>
      <c r="O28" s="105"/>
      <c r="Q28" s="47"/>
      <c r="R28" s="47"/>
      <c r="S28" s="47"/>
      <c r="T28" s="47"/>
      <c r="U28" s="47"/>
      <c r="V28" s="47"/>
      <c r="W28" s="47"/>
      <c r="Y28" s="107"/>
      <c r="Z28" s="107"/>
      <c r="AA28" s="107"/>
      <c r="AB28" s="107"/>
      <c r="AD28" s="47"/>
      <c r="AE28" s="47"/>
      <c r="AF28" s="47"/>
      <c r="AG28" s="47"/>
      <c r="AH28" s="47"/>
      <c r="AI28" s="47"/>
      <c r="AJ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C28" s="47"/>
      <c r="CD28" s="47"/>
      <c r="CE28" s="47"/>
      <c r="CF28" s="47"/>
      <c r="CG28" s="47"/>
      <c r="CH28" s="47"/>
      <c r="CI28" s="47"/>
      <c r="CK28" s="47"/>
      <c r="CL28" s="47"/>
      <c r="CM28" s="47"/>
      <c r="CN28" s="47"/>
      <c r="CO28" s="47"/>
      <c r="CP28" s="47"/>
      <c r="CQ28" s="47"/>
      <c r="CS28" s="47">
        <f t="shared" si="7"/>
        <v>0</v>
      </c>
      <c r="CT28" s="47">
        <f t="shared" si="8"/>
        <v>0</v>
      </c>
      <c r="CU28" s="47">
        <f t="shared" si="8"/>
        <v>0</v>
      </c>
      <c r="CV28" s="47">
        <f t="shared" si="9"/>
        <v>0</v>
      </c>
      <c r="CW28" s="47">
        <f t="shared" si="10"/>
        <v>0</v>
      </c>
      <c r="CX28" s="47">
        <f t="shared" si="11"/>
        <v>0</v>
      </c>
      <c r="CY28" s="47">
        <f t="shared" si="12"/>
        <v>0</v>
      </c>
    </row>
    <row r="29" spans="2:103" x14ac:dyDescent="0.3">
      <c r="B29" s="7"/>
      <c r="C29" s="7"/>
      <c r="D29" s="7"/>
      <c r="E29" s="7"/>
      <c r="F29" s="7"/>
      <c r="G29" s="7"/>
      <c r="H29" s="7"/>
      <c r="I29" s="7"/>
      <c r="J29" s="7"/>
      <c r="K29" s="7"/>
      <c r="L29" s="7"/>
      <c r="M29" s="7"/>
      <c r="N29" s="7"/>
      <c r="O29" s="105"/>
      <c r="Q29" s="47"/>
      <c r="R29" s="47"/>
      <c r="S29" s="47"/>
      <c r="T29" s="47"/>
      <c r="U29" s="47"/>
      <c r="V29" s="47"/>
      <c r="W29" s="47"/>
      <c r="Y29" s="107"/>
      <c r="Z29" s="107"/>
      <c r="AA29" s="107"/>
      <c r="AB29" s="107"/>
      <c r="AD29" s="47"/>
      <c r="AE29" s="47"/>
      <c r="AF29" s="47"/>
      <c r="AG29" s="47"/>
      <c r="AH29" s="47"/>
      <c r="AI29" s="47"/>
      <c r="AJ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C29" s="47"/>
      <c r="CD29" s="47"/>
      <c r="CE29" s="47"/>
      <c r="CF29" s="47"/>
      <c r="CG29" s="47"/>
      <c r="CH29" s="47"/>
      <c r="CI29" s="47"/>
      <c r="CK29" s="47"/>
      <c r="CL29" s="47"/>
      <c r="CM29" s="47"/>
      <c r="CN29" s="47"/>
      <c r="CO29" s="47"/>
      <c r="CP29" s="47"/>
      <c r="CQ29" s="47"/>
      <c r="CS29" s="47">
        <f t="shared" si="7"/>
        <v>0</v>
      </c>
      <c r="CT29" s="47">
        <f t="shared" si="8"/>
        <v>0</v>
      </c>
      <c r="CU29" s="47">
        <f t="shared" si="8"/>
        <v>0</v>
      </c>
      <c r="CV29" s="47">
        <f t="shared" si="9"/>
        <v>0</v>
      </c>
      <c r="CW29" s="47">
        <f t="shared" si="10"/>
        <v>0</v>
      </c>
      <c r="CX29" s="47">
        <f t="shared" si="11"/>
        <v>0</v>
      </c>
      <c r="CY29" s="47">
        <f t="shared" si="12"/>
        <v>0</v>
      </c>
    </row>
    <row r="30" spans="2:103" x14ac:dyDescent="0.3">
      <c r="B30" s="7"/>
      <c r="C30" s="7"/>
      <c r="D30" s="7"/>
      <c r="E30" s="7"/>
      <c r="F30" s="7"/>
      <c r="G30" s="7"/>
      <c r="H30" s="7"/>
      <c r="I30" s="7"/>
      <c r="J30" s="7"/>
      <c r="K30" s="7"/>
      <c r="L30" s="7"/>
      <c r="M30" s="7"/>
      <c r="N30" s="7"/>
      <c r="O30" s="105"/>
      <c r="Q30" s="47"/>
      <c r="R30" s="47"/>
      <c r="S30" s="47"/>
      <c r="T30" s="47"/>
      <c r="U30" s="47"/>
      <c r="V30" s="47"/>
      <c r="W30" s="47"/>
      <c r="Y30" s="107"/>
      <c r="Z30" s="107"/>
      <c r="AA30" s="107"/>
      <c r="AB30" s="107"/>
      <c r="AD30" s="47"/>
      <c r="AE30" s="47"/>
      <c r="AF30" s="47"/>
      <c r="AG30" s="47"/>
      <c r="AH30" s="47"/>
      <c r="AI30" s="47"/>
      <c r="AJ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C30" s="47"/>
      <c r="CD30" s="47"/>
      <c r="CE30" s="47"/>
      <c r="CF30" s="47"/>
      <c r="CG30" s="47"/>
      <c r="CH30" s="47"/>
      <c r="CI30" s="47"/>
      <c r="CK30" s="47"/>
      <c r="CL30" s="47"/>
      <c r="CM30" s="47"/>
      <c r="CN30" s="47"/>
      <c r="CO30" s="47"/>
      <c r="CP30" s="47"/>
      <c r="CQ30" s="47"/>
      <c r="CS30" s="47">
        <f t="shared" si="7"/>
        <v>0</v>
      </c>
      <c r="CT30" s="47">
        <f t="shared" si="8"/>
        <v>0</v>
      </c>
      <c r="CU30" s="47">
        <f t="shared" si="8"/>
        <v>0</v>
      </c>
      <c r="CV30" s="47">
        <f t="shared" si="9"/>
        <v>0</v>
      </c>
      <c r="CW30" s="47">
        <f t="shared" si="10"/>
        <v>0</v>
      </c>
      <c r="CX30" s="47">
        <f t="shared" si="11"/>
        <v>0</v>
      </c>
      <c r="CY30" s="47">
        <f t="shared" si="12"/>
        <v>0</v>
      </c>
    </row>
    <row r="31" spans="2:103" x14ac:dyDescent="0.3">
      <c r="B31" s="7"/>
      <c r="C31" s="7"/>
      <c r="D31" s="7"/>
      <c r="E31" s="7"/>
      <c r="F31" s="7"/>
      <c r="G31" s="7"/>
      <c r="H31" s="7"/>
      <c r="I31" s="7"/>
      <c r="J31" s="7"/>
      <c r="K31" s="7"/>
      <c r="L31" s="7"/>
      <c r="M31" s="7"/>
      <c r="N31" s="7"/>
      <c r="O31" s="105"/>
      <c r="Q31" s="47"/>
      <c r="R31" s="47"/>
      <c r="S31" s="47"/>
      <c r="T31" s="47"/>
      <c r="U31" s="47"/>
      <c r="V31" s="47"/>
      <c r="W31" s="47"/>
      <c r="Y31" s="107"/>
      <c r="Z31" s="107"/>
      <c r="AA31" s="107"/>
      <c r="AB31" s="107"/>
      <c r="AD31" s="47"/>
      <c r="AE31" s="47"/>
      <c r="AF31" s="47"/>
      <c r="AG31" s="47"/>
      <c r="AH31" s="47"/>
      <c r="AI31" s="47"/>
      <c r="AJ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C31" s="47"/>
      <c r="CD31" s="47"/>
      <c r="CE31" s="47"/>
      <c r="CF31" s="47"/>
      <c r="CG31" s="47"/>
      <c r="CH31" s="47"/>
      <c r="CI31" s="47"/>
      <c r="CK31" s="47"/>
      <c r="CL31" s="47"/>
      <c r="CM31" s="47"/>
      <c r="CN31" s="47"/>
      <c r="CO31" s="47"/>
      <c r="CP31" s="47"/>
      <c r="CQ31" s="47"/>
      <c r="CS31" s="47">
        <f t="shared" si="7"/>
        <v>0</v>
      </c>
      <c r="CT31" s="47">
        <f t="shared" si="8"/>
        <v>0</v>
      </c>
      <c r="CU31" s="47">
        <f t="shared" si="8"/>
        <v>0</v>
      </c>
      <c r="CV31" s="47">
        <f t="shared" si="9"/>
        <v>0</v>
      </c>
      <c r="CW31" s="47">
        <f t="shared" si="10"/>
        <v>0</v>
      </c>
      <c r="CX31" s="47">
        <f t="shared" si="11"/>
        <v>0</v>
      </c>
      <c r="CY31" s="47">
        <f t="shared" si="12"/>
        <v>0</v>
      </c>
    </row>
    <row r="32" spans="2:103" x14ac:dyDescent="0.3">
      <c r="B32" s="7"/>
      <c r="C32" s="7"/>
      <c r="D32" s="7"/>
      <c r="E32" s="7"/>
      <c r="F32" s="7"/>
      <c r="G32" s="7"/>
      <c r="H32" s="7"/>
      <c r="I32" s="7"/>
      <c r="J32" s="7"/>
      <c r="K32" s="7"/>
      <c r="L32" s="7"/>
      <c r="M32" s="7"/>
      <c r="N32" s="7"/>
      <c r="O32" s="105"/>
      <c r="Q32" s="47"/>
      <c r="R32" s="47"/>
      <c r="S32" s="47"/>
      <c r="T32" s="47"/>
      <c r="U32" s="47"/>
      <c r="V32" s="47"/>
      <c r="W32" s="47"/>
      <c r="Y32" s="107"/>
      <c r="Z32" s="107"/>
      <c r="AA32" s="107"/>
      <c r="AB32" s="107"/>
      <c r="AD32" s="47"/>
      <c r="AE32" s="47"/>
      <c r="AF32" s="47"/>
      <c r="AG32" s="47"/>
      <c r="AH32" s="47"/>
      <c r="AI32" s="47"/>
      <c r="AJ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C32" s="47"/>
      <c r="CD32" s="47"/>
      <c r="CE32" s="47"/>
      <c r="CF32" s="47"/>
      <c r="CG32" s="47"/>
      <c r="CH32" s="47"/>
      <c r="CI32" s="47"/>
      <c r="CK32" s="47"/>
      <c r="CL32" s="47"/>
      <c r="CM32" s="47"/>
      <c r="CN32" s="47"/>
      <c r="CO32" s="47"/>
      <c r="CP32" s="47"/>
      <c r="CQ32" s="47"/>
      <c r="CS32" s="47">
        <f t="shared" si="7"/>
        <v>0</v>
      </c>
      <c r="CT32" s="47">
        <f t="shared" si="8"/>
        <v>0</v>
      </c>
      <c r="CU32" s="47">
        <f t="shared" si="8"/>
        <v>0</v>
      </c>
      <c r="CV32" s="47">
        <f t="shared" si="9"/>
        <v>0</v>
      </c>
      <c r="CW32" s="47">
        <f t="shared" si="10"/>
        <v>0</v>
      </c>
      <c r="CX32" s="47">
        <f t="shared" si="11"/>
        <v>0</v>
      </c>
      <c r="CY32" s="47">
        <f t="shared" si="12"/>
        <v>0</v>
      </c>
    </row>
    <row r="33" spans="2:103" x14ac:dyDescent="0.3">
      <c r="B33" s="7"/>
      <c r="C33" s="7"/>
      <c r="D33" s="7"/>
      <c r="E33" s="7"/>
      <c r="F33" s="7"/>
      <c r="G33" s="7"/>
      <c r="H33" s="7"/>
      <c r="I33" s="7"/>
      <c r="J33" s="7"/>
      <c r="K33" s="7"/>
      <c r="L33" s="7"/>
      <c r="M33" s="7"/>
      <c r="N33" s="7"/>
      <c r="O33" s="105"/>
      <c r="Q33" s="47"/>
      <c r="R33" s="47"/>
      <c r="S33" s="47"/>
      <c r="T33" s="47"/>
      <c r="U33" s="47"/>
      <c r="V33" s="47"/>
      <c r="W33" s="47"/>
      <c r="Y33" s="107"/>
      <c r="Z33" s="107"/>
      <c r="AA33" s="107"/>
      <c r="AB33" s="107"/>
      <c r="AD33" s="47"/>
      <c r="AE33" s="47"/>
      <c r="AF33" s="47"/>
      <c r="AG33" s="47"/>
      <c r="AH33" s="47"/>
      <c r="AI33" s="47"/>
      <c r="AJ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C33" s="47"/>
      <c r="CD33" s="47"/>
      <c r="CE33" s="47"/>
      <c r="CF33" s="47"/>
      <c r="CG33" s="47"/>
      <c r="CH33" s="47"/>
      <c r="CI33" s="47"/>
      <c r="CK33" s="47"/>
      <c r="CL33" s="47"/>
      <c r="CM33" s="47"/>
      <c r="CN33" s="47"/>
      <c r="CO33" s="47"/>
      <c r="CP33" s="47"/>
      <c r="CQ33" s="47"/>
      <c r="CS33" s="47">
        <f t="shared" si="7"/>
        <v>0</v>
      </c>
      <c r="CT33" s="47">
        <f t="shared" si="8"/>
        <v>0</v>
      </c>
      <c r="CU33" s="47">
        <f t="shared" si="8"/>
        <v>0</v>
      </c>
      <c r="CV33" s="47">
        <f t="shared" si="9"/>
        <v>0</v>
      </c>
      <c r="CW33" s="47">
        <f t="shared" si="10"/>
        <v>0</v>
      </c>
      <c r="CX33" s="47">
        <f t="shared" si="11"/>
        <v>0</v>
      </c>
      <c r="CY33" s="47">
        <f t="shared" si="12"/>
        <v>0</v>
      </c>
    </row>
    <row r="34" spans="2:103" x14ac:dyDescent="0.3">
      <c r="B34" s="7"/>
      <c r="C34" s="7"/>
      <c r="D34" s="7"/>
      <c r="E34" s="7"/>
      <c r="F34" s="7"/>
      <c r="G34" s="7"/>
      <c r="H34" s="7"/>
      <c r="I34" s="7"/>
      <c r="J34" s="7"/>
      <c r="K34" s="7"/>
      <c r="L34" s="7"/>
      <c r="M34" s="7"/>
      <c r="N34" s="7"/>
      <c r="O34" s="105"/>
      <c r="Q34" s="47"/>
      <c r="R34" s="47"/>
      <c r="S34" s="47"/>
      <c r="T34" s="47"/>
      <c r="U34" s="47"/>
      <c r="V34" s="47"/>
      <c r="W34" s="47"/>
      <c r="Y34" s="107"/>
      <c r="Z34" s="107"/>
      <c r="AA34" s="107"/>
      <c r="AB34" s="107"/>
      <c r="AD34" s="47"/>
      <c r="AE34" s="47"/>
      <c r="AF34" s="47"/>
      <c r="AG34" s="47"/>
      <c r="AH34" s="47"/>
      <c r="AI34" s="47"/>
      <c r="AJ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C34" s="47"/>
      <c r="CD34" s="47"/>
      <c r="CE34" s="47"/>
      <c r="CF34" s="47"/>
      <c r="CG34" s="47"/>
      <c r="CH34" s="47"/>
      <c r="CI34" s="47"/>
      <c r="CK34" s="47"/>
      <c r="CL34" s="47"/>
      <c r="CM34" s="47"/>
      <c r="CN34" s="47"/>
      <c r="CO34" s="47"/>
      <c r="CP34" s="47"/>
      <c r="CQ34" s="47"/>
      <c r="CS34" s="47">
        <f t="shared" si="7"/>
        <v>0</v>
      </c>
      <c r="CT34" s="47">
        <f t="shared" si="8"/>
        <v>0</v>
      </c>
      <c r="CU34" s="47">
        <f t="shared" si="8"/>
        <v>0</v>
      </c>
      <c r="CV34" s="47">
        <f t="shared" si="9"/>
        <v>0</v>
      </c>
      <c r="CW34" s="47">
        <f t="shared" si="10"/>
        <v>0</v>
      </c>
      <c r="CX34" s="47">
        <f t="shared" si="11"/>
        <v>0</v>
      </c>
      <c r="CY34" s="47">
        <f t="shared" si="12"/>
        <v>0</v>
      </c>
    </row>
    <row r="35" spans="2:103" x14ac:dyDescent="0.3">
      <c r="B35" s="7"/>
      <c r="C35" s="7"/>
      <c r="D35" s="7"/>
      <c r="E35" s="7"/>
      <c r="F35" s="7"/>
      <c r="G35" s="7"/>
      <c r="H35" s="7"/>
      <c r="I35" s="7"/>
      <c r="J35" s="7"/>
      <c r="K35" s="7"/>
      <c r="L35" s="7"/>
      <c r="M35" s="7"/>
      <c r="N35" s="7"/>
      <c r="O35" s="105"/>
      <c r="Q35" s="47"/>
      <c r="R35" s="47"/>
      <c r="S35" s="47"/>
      <c r="T35" s="47"/>
      <c r="U35" s="47"/>
      <c r="V35" s="47"/>
      <c r="W35" s="47"/>
      <c r="Y35" s="107"/>
      <c r="Z35" s="107"/>
      <c r="AA35" s="107"/>
      <c r="AB35" s="107"/>
      <c r="AD35" s="47"/>
      <c r="AE35" s="47"/>
      <c r="AF35" s="47"/>
      <c r="AG35" s="47"/>
      <c r="AH35" s="47"/>
      <c r="AI35" s="47"/>
      <c r="AJ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C35" s="47"/>
      <c r="CD35" s="47"/>
      <c r="CE35" s="47"/>
      <c r="CF35" s="47"/>
      <c r="CG35" s="47"/>
      <c r="CH35" s="47"/>
      <c r="CI35" s="47"/>
      <c r="CK35" s="47"/>
      <c r="CL35" s="47"/>
      <c r="CM35" s="47"/>
      <c r="CN35" s="47"/>
      <c r="CO35" s="47"/>
      <c r="CP35" s="47"/>
      <c r="CQ35" s="47"/>
      <c r="CS35" s="47">
        <f t="shared" si="7"/>
        <v>0</v>
      </c>
      <c r="CT35" s="47">
        <f t="shared" si="8"/>
        <v>0</v>
      </c>
      <c r="CU35" s="47">
        <f t="shared" si="8"/>
        <v>0</v>
      </c>
      <c r="CV35" s="47">
        <f t="shared" si="9"/>
        <v>0</v>
      </c>
      <c r="CW35" s="47">
        <f t="shared" si="10"/>
        <v>0</v>
      </c>
      <c r="CX35" s="47">
        <f t="shared" si="11"/>
        <v>0</v>
      </c>
      <c r="CY35" s="47">
        <f t="shared" si="12"/>
        <v>0</v>
      </c>
    </row>
    <row r="36" spans="2:103" x14ac:dyDescent="0.3">
      <c r="B36" s="7"/>
      <c r="C36" s="7"/>
      <c r="D36" s="7"/>
      <c r="E36" s="7"/>
      <c r="F36" s="7"/>
      <c r="G36" s="7"/>
      <c r="H36" s="7"/>
      <c r="I36" s="7"/>
      <c r="J36" s="7"/>
      <c r="K36" s="7"/>
      <c r="L36" s="7"/>
      <c r="M36" s="7"/>
      <c r="N36" s="7"/>
      <c r="O36" s="105"/>
      <c r="Q36" s="47"/>
      <c r="R36" s="47"/>
      <c r="S36" s="47"/>
      <c r="T36" s="47"/>
      <c r="U36" s="47"/>
      <c r="V36" s="47"/>
      <c r="W36" s="47"/>
      <c r="Y36" s="107"/>
      <c r="Z36" s="107"/>
      <c r="AA36" s="107"/>
      <c r="AB36" s="107"/>
      <c r="AD36" s="47"/>
      <c r="AE36" s="47"/>
      <c r="AF36" s="47"/>
      <c r="AG36" s="47"/>
      <c r="AH36" s="47"/>
      <c r="AI36" s="47"/>
      <c r="AJ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C36" s="47"/>
      <c r="CD36" s="47"/>
      <c r="CE36" s="47"/>
      <c r="CF36" s="47"/>
      <c r="CG36" s="47"/>
      <c r="CH36" s="47"/>
      <c r="CI36" s="47"/>
      <c r="CK36" s="47"/>
      <c r="CL36" s="47"/>
      <c r="CM36" s="47"/>
      <c r="CN36" s="47"/>
      <c r="CO36" s="47"/>
      <c r="CP36" s="47"/>
      <c r="CQ36" s="47"/>
      <c r="CS36" s="47">
        <f t="shared" si="7"/>
        <v>0</v>
      </c>
      <c r="CT36" s="47">
        <f t="shared" si="8"/>
        <v>0</v>
      </c>
      <c r="CU36" s="47">
        <f t="shared" si="8"/>
        <v>0</v>
      </c>
      <c r="CV36" s="47">
        <f t="shared" si="9"/>
        <v>0</v>
      </c>
      <c r="CW36" s="47">
        <f t="shared" si="10"/>
        <v>0</v>
      </c>
      <c r="CX36" s="47">
        <f t="shared" si="11"/>
        <v>0</v>
      </c>
      <c r="CY36" s="47">
        <f t="shared" si="12"/>
        <v>0</v>
      </c>
    </row>
    <row r="37" spans="2:103" x14ac:dyDescent="0.3">
      <c r="B37" s="7"/>
      <c r="C37" s="7"/>
      <c r="D37" s="7"/>
      <c r="E37" s="7"/>
      <c r="F37" s="7"/>
      <c r="G37" s="7"/>
      <c r="H37" s="7"/>
      <c r="I37" s="7"/>
      <c r="J37" s="7"/>
      <c r="K37" s="7"/>
      <c r="L37" s="7"/>
      <c r="M37" s="7"/>
      <c r="N37" s="7"/>
      <c r="O37" s="105"/>
      <c r="Q37" s="47"/>
      <c r="R37" s="47"/>
      <c r="S37" s="47"/>
      <c r="T37" s="47"/>
      <c r="U37" s="47"/>
      <c r="V37" s="47"/>
      <c r="W37" s="47"/>
      <c r="Y37" s="107"/>
      <c r="Z37" s="107"/>
      <c r="AA37" s="107"/>
      <c r="AB37" s="107"/>
      <c r="AD37" s="47"/>
      <c r="AE37" s="47"/>
      <c r="AF37" s="47"/>
      <c r="AG37" s="47"/>
      <c r="AH37" s="47"/>
      <c r="AI37" s="47"/>
      <c r="AJ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C37" s="47"/>
      <c r="CD37" s="47"/>
      <c r="CE37" s="47"/>
      <c r="CF37" s="47"/>
      <c r="CG37" s="47"/>
      <c r="CH37" s="47"/>
      <c r="CI37" s="47"/>
      <c r="CK37" s="47"/>
      <c r="CL37" s="47"/>
      <c r="CM37" s="47"/>
      <c r="CN37" s="47"/>
      <c r="CO37" s="47"/>
      <c r="CP37" s="47"/>
      <c r="CQ37" s="47"/>
      <c r="CS37" s="47">
        <f t="shared" si="7"/>
        <v>0</v>
      </c>
      <c r="CT37" s="47">
        <f t="shared" si="8"/>
        <v>0</v>
      </c>
      <c r="CU37" s="47">
        <f t="shared" si="8"/>
        <v>0</v>
      </c>
      <c r="CV37" s="47">
        <f t="shared" si="9"/>
        <v>0</v>
      </c>
      <c r="CW37" s="47">
        <f t="shared" si="10"/>
        <v>0</v>
      </c>
      <c r="CX37" s="47">
        <f t="shared" si="11"/>
        <v>0</v>
      </c>
      <c r="CY37" s="47">
        <f t="shared" si="12"/>
        <v>0</v>
      </c>
    </row>
    <row r="38" spans="2:103" x14ac:dyDescent="0.3">
      <c r="Q38" s="48">
        <f t="shared" ref="Q38:W38" si="13">SUM(Q7:Q37)</f>
        <v>0</v>
      </c>
      <c r="R38" s="48">
        <f t="shared" si="13"/>
        <v>0</v>
      </c>
      <c r="S38" s="48">
        <f t="shared" si="13"/>
        <v>0</v>
      </c>
      <c r="T38" s="48">
        <f t="shared" si="13"/>
        <v>0</v>
      </c>
      <c r="U38" s="48">
        <f t="shared" si="13"/>
        <v>0</v>
      </c>
      <c r="V38" s="48">
        <f t="shared" si="13"/>
        <v>0</v>
      </c>
      <c r="W38" s="48">
        <f t="shared" si="13"/>
        <v>0</v>
      </c>
      <c r="AD38" s="48">
        <f t="shared" ref="AD38:AJ38" si="14">SUM(AD7:AD37)</f>
        <v>0</v>
      </c>
      <c r="AE38" s="48">
        <f t="shared" si="14"/>
        <v>0</v>
      </c>
      <c r="AF38" s="48">
        <f t="shared" si="14"/>
        <v>0</v>
      </c>
      <c r="AG38" s="48">
        <f t="shared" si="14"/>
        <v>0</v>
      </c>
      <c r="AH38" s="48">
        <f t="shared" si="14"/>
        <v>0</v>
      </c>
      <c r="AI38" s="48">
        <f t="shared" si="14"/>
        <v>0</v>
      </c>
      <c r="AJ38" s="48">
        <f t="shared" si="14"/>
        <v>0</v>
      </c>
      <c r="AL38" s="48">
        <f t="shared" ref="AL38:AP38" si="15">SUM(AL7:AL37)</f>
        <v>0</v>
      </c>
      <c r="AM38" s="48">
        <f t="shared" si="15"/>
        <v>0</v>
      </c>
      <c r="AN38" s="48">
        <f t="shared" si="15"/>
        <v>0</v>
      </c>
      <c r="AO38" s="48">
        <f t="shared" si="15"/>
        <v>0</v>
      </c>
      <c r="AP38" s="48">
        <f t="shared" si="15"/>
        <v>0</v>
      </c>
      <c r="AQ38" s="48">
        <f t="shared" ref="AQ38:CA38" si="16">SUM(AQ7:AQ37)</f>
        <v>0</v>
      </c>
      <c r="AR38" s="48">
        <f t="shared" ref="AR38:AW38" si="17">SUM(AR7:AR37)</f>
        <v>0</v>
      </c>
      <c r="AS38" s="48">
        <f t="shared" si="17"/>
        <v>0</v>
      </c>
      <c r="AT38" s="48">
        <f t="shared" si="17"/>
        <v>0</v>
      </c>
      <c r="AU38" s="48">
        <f t="shared" si="17"/>
        <v>0</v>
      </c>
      <c r="AV38" s="48">
        <f t="shared" si="17"/>
        <v>0</v>
      </c>
      <c r="AW38" s="48">
        <f t="shared" si="17"/>
        <v>0</v>
      </c>
      <c r="AX38" s="48">
        <f t="shared" si="16"/>
        <v>0</v>
      </c>
      <c r="AY38" s="48">
        <f t="shared" si="16"/>
        <v>0</v>
      </c>
      <c r="AZ38" s="48">
        <f t="shared" si="16"/>
        <v>0</v>
      </c>
      <c r="BA38" s="48">
        <f t="shared" si="16"/>
        <v>0</v>
      </c>
      <c r="BB38" s="48">
        <f t="shared" si="16"/>
        <v>0</v>
      </c>
      <c r="BC38" s="48">
        <f t="shared" si="16"/>
        <v>0</v>
      </c>
      <c r="BD38" s="48">
        <f t="shared" si="16"/>
        <v>0</v>
      </c>
      <c r="BE38" s="48">
        <f t="shared" si="16"/>
        <v>0</v>
      </c>
      <c r="BF38" s="48">
        <f t="shared" si="16"/>
        <v>0</v>
      </c>
      <c r="BG38" s="48">
        <f t="shared" si="16"/>
        <v>0</v>
      </c>
      <c r="BH38" s="48">
        <f t="shared" si="16"/>
        <v>0</v>
      </c>
      <c r="BI38" s="48">
        <f t="shared" si="16"/>
        <v>0</v>
      </c>
      <c r="BJ38" s="48">
        <f t="shared" si="16"/>
        <v>0</v>
      </c>
      <c r="BK38" s="48">
        <f t="shared" si="16"/>
        <v>0</v>
      </c>
      <c r="BL38" s="48">
        <f t="shared" si="16"/>
        <v>0</v>
      </c>
      <c r="BM38" s="48">
        <f t="shared" si="16"/>
        <v>0</v>
      </c>
      <c r="BN38" s="48">
        <f t="shared" si="16"/>
        <v>0</v>
      </c>
      <c r="BO38" s="48">
        <f t="shared" si="16"/>
        <v>0</v>
      </c>
      <c r="BP38" s="48">
        <f t="shared" si="16"/>
        <v>0</v>
      </c>
      <c r="BQ38" s="48">
        <f t="shared" si="16"/>
        <v>0</v>
      </c>
      <c r="BR38" s="48">
        <f t="shared" si="16"/>
        <v>0</v>
      </c>
      <c r="BS38" s="48">
        <f t="shared" si="16"/>
        <v>0</v>
      </c>
      <c r="BT38" s="48">
        <f t="shared" si="16"/>
        <v>0</v>
      </c>
      <c r="BU38" s="48">
        <f t="shared" si="16"/>
        <v>0</v>
      </c>
      <c r="BV38" s="48">
        <f t="shared" si="16"/>
        <v>0</v>
      </c>
      <c r="BW38" s="48">
        <f t="shared" si="16"/>
        <v>0</v>
      </c>
      <c r="BX38" s="48">
        <f t="shared" si="16"/>
        <v>0</v>
      </c>
      <c r="BY38" s="48">
        <f t="shared" si="16"/>
        <v>0</v>
      </c>
      <c r="BZ38" s="48">
        <f t="shared" si="16"/>
        <v>0</v>
      </c>
      <c r="CA38" s="48">
        <f t="shared" si="16"/>
        <v>0</v>
      </c>
      <c r="CC38" s="48">
        <f t="shared" ref="CC38:CI38" si="18">SUM(CC7:CC37)</f>
        <v>0</v>
      </c>
      <c r="CD38" s="48">
        <f t="shared" si="18"/>
        <v>0</v>
      </c>
      <c r="CE38" s="48">
        <f t="shared" si="18"/>
        <v>0</v>
      </c>
      <c r="CF38" s="48">
        <f t="shared" si="18"/>
        <v>0</v>
      </c>
      <c r="CG38" s="48">
        <f t="shared" si="18"/>
        <v>0</v>
      </c>
      <c r="CH38" s="48">
        <f t="shared" si="18"/>
        <v>0</v>
      </c>
      <c r="CI38" s="48">
        <f t="shared" si="18"/>
        <v>0</v>
      </c>
      <c r="CK38" s="48">
        <f t="shared" ref="CK38:CQ38" si="19">SUM(CK7:CK37)</f>
        <v>0</v>
      </c>
      <c r="CL38" s="48">
        <f t="shared" si="19"/>
        <v>0</v>
      </c>
      <c r="CM38" s="48">
        <f t="shared" si="19"/>
        <v>0</v>
      </c>
      <c r="CN38" s="48">
        <f t="shared" si="19"/>
        <v>0</v>
      </c>
      <c r="CO38" s="48">
        <f t="shared" si="19"/>
        <v>0</v>
      </c>
      <c r="CP38" s="48">
        <f t="shared" si="19"/>
        <v>0</v>
      </c>
      <c r="CQ38" s="48">
        <f t="shared" si="19"/>
        <v>0</v>
      </c>
      <c r="CS38" s="48">
        <f t="shared" ref="CS38:CY38" si="20">SUM(CS7:CS37)</f>
        <v>0</v>
      </c>
      <c r="CT38" s="48">
        <f t="shared" ref="CT38" si="21">SUM(CT7:CT37)</f>
        <v>0</v>
      </c>
      <c r="CU38" s="48">
        <f t="shared" si="20"/>
        <v>0</v>
      </c>
      <c r="CV38" s="48">
        <f t="shared" si="20"/>
        <v>0</v>
      </c>
      <c r="CW38" s="48">
        <f t="shared" si="20"/>
        <v>0</v>
      </c>
      <c r="CX38" s="48">
        <f t="shared" si="20"/>
        <v>0</v>
      </c>
      <c r="CY38" s="48">
        <f t="shared" si="20"/>
        <v>0</v>
      </c>
    </row>
    <row r="39" spans="2:103" x14ac:dyDescent="0.3">
      <c r="CS39" s="85">
        <f t="shared" ref="CS39:CY39" si="22">IF(ISERROR((CS38-Q38)/Q38),0,(CS38-Q38)/Q38)</f>
        <v>0</v>
      </c>
      <c r="CT39" s="85">
        <f t="shared" si="22"/>
        <v>0</v>
      </c>
      <c r="CU39" s="85">
        <f t="shared" si="22"/>
        <v>0</v>
      </c>
      <c r="CV39" s="85">
        <f t="shared" si="22"/>
        <v>0</v>
      </c>
      <c r="CW39" s="85">
        <f t="shared" si="22"/>
        <v>0</v>
      </c>
      <c r="CX39" s="85">
        <f t="shared" si="22"/>
        <v>0</v>
      </c>
      <c r="CY39" s="85">
        <f t="shared" si="22"/>
        <v>0</v>
      </c>
    </row>
    <row r="40" spans="2:103" x14ac:dyDescent="0.3">
      <c r="Q40" s="39"/>
      <c r="R40" s="39"/>
      <c r="S40" s="39"/>
      <c r="T40" s="39"/>
      <c r="U40" s="39"/>
      <c r="V40" s="39"/>
      <c r="W40" s="39"/>
      <c r="CS40" s="85"/>
      <c r="CT40" s="85"/>
      <c r="CU40" s="85"/>
      <c r="CV40" s="85"/>
      <c r="CW40" s="85"/>
      <c r="CX40" s="85"/>
      <c r="CY40" s="85"/>
    </row>
    <row r="41" spans="2:103" x14ac:dyDescent="0.3">
      <c r="Q41" s="39"/>
      <c r="R41" s="39"/>
      <c r="S41" s="39"/>
      <c r="T41" s="39"/>
      <c r="U41" s="39"/>
      <c r="V41" s="39"/>
      <c r="W41" s="39"/>
      <c r="CS41" s="85"/>
      <c r="CT41" s="85"/>
      <c r="CU41" s="85"/>
      <c r="CV41" s="85"/>
      <c r="CW41" s="85"/>
      <c r="CX41" s="85"/>
      <c r="CY41" s="85"/>
    </row>
    <row r="42" spans="2:103" x14ac:dyDescent="0.3">
      <c r="Q42" s="39"/>
      <c r="R42" s="39"/>
      <c r="S42" s="39"/>
      <c r="T42" s="39"/>
      <c r="U42" s="39"/>
      <c r="V42" s="39"/>
      <c r="W42" s="39"/>
      <c r="CS42" s="85"/>
      <c r="CT42" s="85"/>
      <c r="CU42" s="85"/>
      <c r="CV42" s="85"/>
      <c r="CW42" s="85"/>
      <c r="CX42" s="85"/>
      <c r="CY42" s="85"/>
    </row>
    <row r="43" spans="2:103" x14ac:dyDescent="0.3">
      <c r="B43" s="2" t="s">
        <v>290</v>
      </c>
      <c r="Q43" s="592"/>
      <c r="R43" s="592"/>
      <c r="S43" s="592"/>
      <c r="T43" s="592"/>
      <c r="U43" s="592"/>
      <c r="V43" s="592"/>
      <c r="W43" s="592"/>
      <c r="CS43" s="592"/>
      <c r="CT43" s="592"/>
      <c r="CU43" s="592"/>
      <c r="CV43" s="592"/>
      <c r="CW43" s="592"/>
      <c r="CX43" s="592"/>
      <c r="CY43" s="592"/>
    </row>
    <row r="44" spans="2:103" ht="43.2" customHeight="1" x14ac:dyDescent="0.3">
      <c r="Q44" s="589" t="s">
        <v>79</v>
      </c>
      <c r="R44" s="590"/>
      <c r="S44" s="590"/>
      <c r="T44" s="590"/>
      <c r="U44" s="590"/>
      <c r="V44" s="590"/>
      <c r="W44" s="591"/>
      <c r="CS44" s="589" t="s">
        <v>79</v>
      </c>
      <c r="CT44" s="590"/>
      <c r="CU44" s="590"/>
      <c r="CV44" s="590"/>
      <c r="CW44" s="590"/>
      <c r="CX44" s="590"/>
      <c r="CY44" s="591"/>
    </row>
    <row r="45" spans="2:103" ht="18.600000000000001" customHeight="1" x14ac:dyDescent="0.3">
      <c r="B45" s="8" t="s">
        <v>23</v>
      </c>
      <c r="C45" s="8" t="s">
        <v>24</v>
      </c>
      <c r="D45" s="17" t="s">
        <v>98</v>
      </c>
      <c r="E45" s="17" t="s">
        <v>76</v>
      </c>
      <c r="F45" s="17" t="s">
        <v>77</v>
      </c>
      <c r="G45" s="17" t="s">
        <v>212</v>
      </c>
      <c r="H45" s="17"/>
      <c r="I45" s="17"/>
      <c r="J45" s="17"/>
      <c r="K45" s="17"/>
      <c r="L45" s="17"/>
      <c r="M45" s="17"/>
      <c r="N45" s="17"/>
      <c r="O45" s="17"/>
      <c r="Q45" s="335">
        <f>CP_Yr_4</f>
        <v>43800</v>
      </c>
      <c r="R45" s="335">
        <f>CP_Yr_5</f>
        <v>44166</v>
      </c>
      <c r="S45" s="335">
        <f>Yr_1</f>
        <v>44742</v>
      </c>
      <c r="T45" s="335">
        <f>Yr_2</f>
        <v>45107</v>
      </c>
      <c r="U45" s="335">
        <f>Yr_3</f>
        <v>45473</v>
      </c>
      <c r="V45" s="335">
        <f>Yr_4</f>
        <v>45838</v>
      </c>
      <c r="W45" s="335">
        <f>Yr_5</f>
        <v>46203</v>
      </c>
      <c r="Y45" s="3" t="s">
        <v>317</v>
      </c>
      <c r="CS45" s="335">
        <f>CP_Yr_4</f>
        <v>43800</v>
      </c>
      <c r="CT45" s="335">
        <f>CP_Yr_5</f>
        <v>44166</v>
      </c>
      <c r="CU45" s="335">
        <f>Yr_1</f>
        <v>44742</v>
      </c>
      <c r="CV45" s="335">
        <f>Yr_2</f>
        <v>45107</v>
      </c>
      <c r="CW45" s="335">
        <f>Yr_3</f>
        <v>45473</v>
      </c>
      <c r="CX45" s="335">
        <f>Yr_4</f>
        <v>45838</v>
      </c>
      <c r="CY45" s="335">
        <f>Yr_5</f>
        <v>46203</v>
      </c>
    </row>
    <row r="46" spans="2:103" x14ac:dyDescent="0.3">
      <c r="B46" s="7"/>
      <c r="C46" s="7"/>
      <c r="D46" s="7" t="s">
        <v>139</v>
      </c>
      <c r="E46" s="7" t="s">
        <v>45</v>
      </c>
      <c r="F46" s="7" t="s">
        <v>51</v>
      </c>
      <c r="G46" s="7" t="s">
        <v>167</v>
      </c>
      <c r="H46" s="7"/>
      <c r="I46" s="7"/>
      <c r="J46" s="7"/>
      <c r="K46" s="7"/>
      <c r="L46" s="7"/>
      <c r="M46" s="7"/>
      <c r="N46" s="7"/>
      <c r="O46" s="7"/>
      <c r="Q46" s="45"/>
      <c r="R46" s="45"/>
      <c r="S46" s="45"/>
      <c r="T46" s="45"/>
      <c r="U46" s="45"/>
      <c r="V46" s="45"/>
      <c r="W46" s="45"/>
      <c r="CS46" s="45"/>
      <c r="CT46" s="45"/>
      <c r="CU46" s="45"/>
      <c r="CV46" s="45"/>
      <c r="CW46" s="45"/>
      <c r="CX46" s="45"/>
      <c r="CY46" s="45"/>
    </row>
    <row r="47" spans="2:103" x14ac:dyDescent="0.3">
      <c r="B47" s="7"/>
      <c r="C47" s="7"/>
      <c r="D47" s="7" t="s">
        <v>139</v>
      </c>
      <c r="E47" s="7" t="s">
        <v>45</v>
      </c>
      <c r="F47" s="7" t="s">
        <v>51</v>
      </c>
      <c r="G47" s="7" t="s">
        <v>167</v>
      </c>
      <c r="H47" s="7"/>
      <c r="I47" s="7"/>
      <c r="J47" s="7"/>
      <c r="K47" s="7"/>
      <c r="L47" s="7"/>
      <c r="M47" s="7"/>
      <c r="N47" s="7"/>
      <c r="O47" s="7"/>
      <c r="Q47" s="45"/>
      <c r="R47" s="45"/>
      <c r="S47" s="45"/>
      <c r="T47" s="45"/>
      <c r="U47" s="45"/>
      <c r="V47" s="45"/>
      <c r="W47" s="45"/>
      <c r="X47" s="34"/>
      <c r="CS47" s="45"/>
      <c r="CT47" s="45"/>
      <c r="CU47" s="45"/>
      <c r="CV47" s="45"/>
      <c r="CW47" s="45"/>
      <c r="CX47" s="45"/>
      <c r="CY47" s="45"/>
    </row>
    <row r="48" spans="2:103" x14ac:dyDescent="0.3">
      <c r="B48" s="7"/>
      <c r="C48" s="7"/>
      <c r="D48" s="7" t="s">
        <v>139</v>
      </c>
      <c r="E48" s="7" t="s">
        <v>45</v>
      </c>
      <c r="F48" s="7" t="s">
        <v>51</v>
      </c>
      <c r="G48" s="7" t="s">
        <v>167</v>
      </c>
      <c r="H48" s="7"/>
      <c r="I48" s="7"/>
      <c r="J48" s="7"/>
      <c r="K48" s="7"/>
      <c r="L48" s="7"/>
      <c r="M48" s="7"/>
      <c r="N48" s="7"/>
      <c r="O48" s="7"/>
      <c r="Q48" s="45"/>
      <c r="R48" s="45"/>
      <c r="S48" s="45"/>
      <c r="T48" s="45"/>
      <c r="U48" s="45"/>
      <c r="V48" s="45"/>
      <c r="W48" s="45"/>
      <c r="CS48" s="45"/>
      <c r="CT48" s="45"/>
      <c r="CU48" s="45"/>
      <c r="CV48" s="45"/>
      <c r="CW48" s="45"/>
      <c r="CX48" s="45"/>
      <c r="CY48" s="45"/>
    </row>
    <row r="49" spans="2:103" x14ac:dyDescent="0.3">
      <c r="B49" s="7"/>
      <c r="C49" s="7"/>
      <c r="D49" s="7" t="s">
        <v>139</v>
      </c>
      <c r="E49" s="7" t="s">
        <v>45</v>
      </c>
      <c r="F49" s="7" t="s">
        <v>51</v>
      </c>
      <c r="G49" s="7" t="s">
        <v>167</v>
      </c>
      <c r="H49" s="7"/>
      <c r="I49" s="7"/>
      <c r="J49" s="7"/>
      <c r="K49" s="7"/>
      <c r="L49" s="7"/>
      <c r="M49" s="7"/>
      <c r="N49" s="7"/>
      <c r="O49" s="7"/>
      <c r="Q49" s="45"/>
      <c r="R49" s="45"/>
      <c r="S49" s="45"/>
      <c r="T49" s="45"/>
      <c r="U49" s="45"/>
      <c r="V49" s="45"/>
      <c r="W49" s="45"/>
      <c r="CS49" s="45"/>
      <c r="CT49" s="45"/>
      <c r="CU49" s="45"/>
      <c r="CV49" s="45"/>
      <c r="CW49" s="45"/>
      <c r="CX49" s="45"/>
      <c r="CY49" s="45"/>
    </row>
    <row r="50" spans="2:103" x14ac:dyDescent="0.3">
      <c r="B50" s="7"/>
      <c r="C50" s="7"/>
      <c r="D50" s="7" t="s">
        <v>139</v>
      </c>
      <c r="E50" s="7" t="s">
        <v>45</v>
      </c>
      <c r="F50" s="7" t="s">
        <v>51</v>
      </c>
      <c r="G50" s="7" t="s">
        <v>167</v>
      </c>
      <c r="H50" s="7"/>
      <c r="I50" s="7"/>
      <c r="J50" s="7"/>
      <c r="K50" s="7"/>
      <c r="L50" s="7"/>
      <c r="M50" s="7"/>
      <c r="N50" s="7"/>
      <c r="O50" s="7"/>
      <c r="Q50" s="45"/>
      <c r="R50" s="45"/>
      <c r="S50" s="45"/>
      <c r="T50" s="45"/>
      <c r="U50" s="45"/>
      <c r="V50" s="45"/>
      <c r="W50" s="45"/>
      <c r="CS50" s="45"/>
      <c r="CT50" s="45"/>
      <c r="CU50" s="45"/>
      <c r="CV50" s="45"/>
      <c r="CW50" s="45"/>
      <c r="CX50" s="45"/>
      <c r="CY50" s="45"/>
    </row>
    <row r="51" spans="2:103" x14ac:dyDescent="0.3">
      <c r="Q51" s="48">
        <f>SUM(Q46:Q50)</f>
        <v>0</v>
      </c>
      <c r="R51" s="48"/>
      <c r="S51" s="48">
        <f t="shared" ref="S51:W51" si="23">SUM(S46:S50)</f>
        <v>0</v>
      </c>
      <c r="T51" s="48">
        <f t="shared" si="23"/>
        <v>0</v>
      </c>
      <c r="U51" s="48">
        <f t="shared" si="23"/>
        <v>0</v>
      </c>
      <c r="V51" s="48">
        <f t="shared" si="23"/>
        <v>0</v>
      </c>
      <c r="W51" s="48">
        <f t="shared" si="23"/>
        <v>0</v>
      </c>
      <c r="CS51" s="48">
        <f>SUM(CS46:CS50)</f>
        <v>0</v>
      </c>
      <c r="CT51" s="48">
        <f>SUM(CT46:CT50)</f>
        <v>0</v>
      </c>
      <c r="CU51" s="48">
        <f t="shared" ref="CU51:CY51" si="24">SUM(CU46:CU50)</f>
        <v>0</v>
      </c>
      <c r="CV51" s="48">
        <f t="shared" si="24"/>
        <v>0</v>
      </c>
      <c r="CW51" s="48">
        <f t="shared" si="24"/>
        <v>0</v>
      </c>
      <c r="CX51" s="48">
        <f t="shared" si="24"/>
        <v>0</v>
      </c>
      <c r="CY51" s="48">
        <f t="shared" si="24"/>
        <v>0</v>
      </c>
    </row>
    <row r="52" spans="2:103" x14ac:dyDescent="0.3">
      <c r="S52" s="39"/>
      <c r="T52" s="39"/>
      <c r="U52" s="39"/>
      <c r="V52" s="39"/>
      <c r="W52" s="39"/>
    </row>
    <row r="53" spans="2:103" x14ac:dyDescent="0.3">
      <c r="Q53" s="55"/>
      <c r="R53" s="55"/>
    </row>
  </sheetData>
  <mergeCells count="15">
    <mergeCell ref="CS3:CY3"/>
    <mergeCell ref="Q3:W3"/>
    <mergeCell ref="Q43:W43"/>
    <mergeCell ref="AD3:AJ3"/>
    <mergeCell ref="CC3:CI3"/>
    <mergeCell ref="CK3:CQ3"/>
    <mergeCell ref="CS5:CY5"/>
    <mergeCell ref="Q44:W44"/>
    <mergeCell ref="CS44:CY44"/>
    <mergeCell ref="H5:N5"/>
    <mergeCell ref="Q5:W5"/>
    <mergeCell ref="AD5:AJ5"/>
    <mergeCell ref="CC5:CI5"/>
    <mergeCell ref="CK5:CQ5"/>
    <mergeCell ref="CS43:CY43"/>
  </mergeCells>
  <dataValidations count="1">
    <dataValidation type="list" errorStyle="warning" showInputMessage="1" showErrorMessage="1" error="Invalid data entered" prompt="Select from drop down list" sqref="F46:F50" xr:uid="{00000000-0002-0000-0900-000000000000}">
      <formula1>$C$16:$C$27</formula1>
    </dataValidation>
  </dataValidations>
  <hyperlinks>
    <hyperlink ref="B2" location="Contents!A1" display="Table of Contents" xr:uid="{00000000-0004-0000-0900-000000000000}"/>
    <hyperlink ref="Y45" location="Connections!CH44" display="Escalated values --&gt;" xr:uid="{00000000-0004-0000-0900-000001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count="3">
        <x14:dataValidation type="list" errorStyle="warning" showInputMessage="1" showErrorMessage="1" error="Invalid data entered" prompt="Select from drop down list" xr:uid="{00000000-0002-0000-0900-000001000000}">
          <x14:formula1>
            <xm:f>Lookups!$C$5:$C$11</xm:f>
          </x14:formula1>
          <xm:sqref>E7:E18 E46:E50</xm:sqref>
        </x14:dataValidation>
        <x14:dataValidation type="list" errorStyle="warning" showInputMessage="1" showErrorMessage="1" error="Invalid data entered" prompt="Select from drop down list" xr:uid="{00000000-0002-0000-0900-000002000000}">
          <x14:formula1>
            <xm:f>Lookups!$C$16:$C$27</xm:f>
          </x14:formula1>
          <xm:sqref>F7:F37</xm:sqref>
        </x14:dataValidation>
        <x14:dataValidation type="list" errorStyle="warning" allowBlank="1" showInputMessage="1" showErrorMessage="1" prompt="Select from drop down list" xr:uid="{00000000-0002-0000-0900-000003000000}">
          <x14:formula1>
            <xm:f>Lab_Mat!$C$12</xm:f>
          </x14:formula1>
          <xm:sqref>G7:G37 G46:G50</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B1:DH62"/>
  <sheetViews>
    <sheetView zoomScale="70" zoomScaleNormal="70" zoomScalePageLayoutView="125" workbookViewId="0">
      <pane xSplit="9" topLeftCell="Q1" activePane="topRight" state="frozen"/>
      <selection activeCell="K24" sqref="K24"/>
      <selection pane="topRight" activeCell="Q8" sqref="Q8"/>
    </sheetView>
  </sheetViews>
  <sheetFormatPr defaultColWidth="8.88671875" defaultRowHeight="14.4" outlineLevelCol="1" x14ac:dyDescent="0.3"/>
  <cols>
    <col min="1" max="1" width="4" style="1" customWidth="1"/>
    <col min="2" max="2" width="14.88671875" style="1" customWidth="1"/>
    <col min="3" max="3" width="27.88671875" style="1" customWidth="1"/>
    <col min="4" max="4" width="41.6640625" style="1" customWidth="1"/>
    <col min="5" max="5" width="22.33203125" style="1" hidden="1" customWidth="1" outlineLevel="1"/>
    <col min="6" max="6" width="31.109375" style="1" hidden="1" customWidth="1" outlineLevel="1"/>
    <col min="7" max="7" width="18" style="1" hidden="1" customWidth="1" outlineLevel="1"/>
    <col min="8" max="8" width="27.109375" style="1" hidden="1" customWidth="1" outlineLevel="1"/>
    <col min="9" max="9" width="19.6640625" style="1" hidden="1" customWidth="1" outlineLevel="1"/>
    <col min="10" max="10" width="10" style="1" customWidth="1" collapsed="1"/>
    <col min="11" max="17" width="10" style="1" customWidth="1"/>
    <col min="18" max="18" width="3.109375"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0"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2.6640625" style="1" customWidth="1"/>
    <col min="77" max="84" width="8.88671875" style="1"/>
    <col min="85" max="85" width="2.88671875" style="1" customWidth="1"/>
    <col min="86" max="93" width="8.88671875" style="1"/>
    <col min="94" max="94" width="2.88671875" style="1" customWidth="1"/>
    <col min="95" max="102" width="8.88671875" style="1"/>
    <col min="103" max="103" width="3.109375" style="1" customWidth="1"/>
    <col min="104" max="104" width="11.88671875" style="1" customWidth="1"/>
    <col min="105" max="106" width="12.33203125" style="1" customWidth="1"/>
    <col min="107" max="107" width="11.5546875" style="1" customWidth="1"/>
    <col min="108" max="108" width="11" style="1" customWidth="1"/>
    <col min="109" max="110" width="8" style="1" customWidth="1"/>
    <col min="111" max="16384" width="8.88671875" style="1"/>
  </cols>
  <sheetData>
    <row r="1" spans="2:112" ht="18" x14ac:dyDescent="0.35">
      <c r="B1" s="10" t="s">
        <v>11</v>
      </c>
      <c r="L1" s="582"/>
      <c r="M1" s="582"/>
    </row>
    <row r="2" spans="2:112" x14ac:dyDescent="0.3">
      <c r="B2" s="25" t="s">
        <v>6</v>
      </c>
      <c r="J2" s="34"/>
      <c r="K2" s="34"/>
      <c r="L2" s="34"/>
    </row>
    <row r="3" spans="2:112" x14ac:dyDescent="0.3">
      <c r="J3" s="592"/>
      <c r="K3" s="592"/>
      <c r="L3" s="592"/>
      <c r="M3" s="592"/>
      <c r="N3" s="592"/>
      <c r="O3" s="592"/>
      <c r="P3" s="592"/>
      <c r="Q3" s="592"/>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2:112" ht="57.6" x14ac:dyDescent="0.3">
      <c r="J4" s="589" t="s">
        <v>378</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379</v>
      </c>
      <c r="CR4" s="590"/>
      <c r="CS4" s="590"/>
      <c r="CT4" s="590"/>
      <c r="CU4" s="590"/>
      <c r="CV4" s="590"/>
      <c r="CW4" s="590"/>
      <c r="CX4" s="591"/>
      <c r="CZ4" s="9" t="s">
        <v>546</v>
      </c>
      <c r="DA4" s="9" t="s">
        <v>545</v>
      </c>
      <c r="DB4" s="9" t="s">
        <v>670</v>
      </c>
      <c r="DC4" s="9" t="s">
        <v>668</v>
      </c>
      <c r="DD4" s="9" t="s">
        <v>669</v>
      </c>
      <c r="DH4" s="265"/>
    </row>
    <row r="5" spans="2:112"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f>Stub</f>
        <v>44377</v>
      </c>
      <c r="CT5" s="335">
        <f>Yr_1</f>
        <v>44742</v>
      </c>
      <c r="CU5" s="335">
        <f>Yr_2</f>
        <v>45107</v>
      </c>
      <c r="CV5" s="335">
        <f>Yr_3</f>
        <v>45473</v>
      </c>
      <c r="CW5" s="335">
        <f>Yr_4</f>
        <v>45838</v>
      </c>
      <c r="CX5" s="335">
        <f>Yr_5</f>
        <v>46203</v>
      </c>
      <c r="CZ5" s="17" t="str">
        <f>NReg_Period</f>
        <v>2022-26</v>
      </c>
      <c r="DA5" s="17" t="str">
        <f>NReg_Period</f>
        <v>2022-26</v>
      </c>
      <c r="DB5" s="17" t="str">
        <f>NReg_Period</f>
        <v>2022-26</v>
      </c>
      <c r="DC5" s="17" t="str">
        <f>NReg_Period</f>
        <v>2022-26</v>
      </c>
      <c r="DD5" s="17" t="str">
        <f>NReg_Period</f>
        <v>2022-26</v>
      </c>
      <c r="DG5" s="265"/>
      <c r="DH5" s="265"/>
    </row>
    <row r="6" spans="2:112" x14ac:dyDescent="0.3">
      <c r="B6" s="7">
        <v>74422206</v>
      </c>
      <c r="C6" s="7" t="s">
        <v>430</v>
      </c>
      <c r="D6" s="7" t="s">
        <v>107</v>
      </c>
      <c r="E6" s="7" t="s">
        <v>44</v>
      </c>
      <c r="F6" s="7" t="s">
        <v>131</v>
      </c>
      <c r="G6" s="7" t="s">
        <v>150</v>
      </c>
      <c r="H6" s="7" t="s">
        <v>176</v>
      </c>
      <c r="I6" s="7" t="s">
        <v>248</v>
      </c>
      <c r="J6" s="45"/>
      <c r="K6" s="45">
        <v>0</v>
      </c>
      <c r="L6" s="45">
        <v>95.63</v>
      </c>
      <c r="M6" s="45">
        <v>2211.4437499999999</v>
      </c>
      <c r="N6" s="45">
        <v>4470.7024999999994</v>
      </c>
      <c r="O6" s="45">
        <v>2665.6862499999997</v>
      </c>
      <c r="P6" s="45">
        <v>119.53750000000001</v>
      </c>
      <c r="Q6" s="45">
        <v>0</v>
      </c>
      <c r="S6" s="47">
        <f>INDEX(Direct_Cost_Splits_Network,MATCH($H6,RIN_Asset_Cat_Network,0),MATCH($S$4,Direct_Cost_Type,0))*J6*HLOOKUP(S$5,Escalators!$I$25:$U$30,3,FALSE)</f>
        <v>0</v>
      </c>
      <c r="T6" s="47">
        <f>INDEX(Direct_Cost_Splits_Network,MATCH($H6,RIN_Asset_Cat_Network,0),MATCH($S$4,Direct_Cost_Type,0))*K6*HLOOKUP(T$5,Escalators!$I$25:$U$30,3,FALSE)</f>
        <v>0</v>
      </c>
      <c r="U6" s="47">
        <f>INDEX(Direct_Cost_Splits_Network,MATCH($H6,RIN_Asset_Cat_Network,0),MATCH($S$4,Direct_Cost_Type,0))*L6*HLOOKUP(U$5,Escalators!$I$25:$U$30,3,FALSE)</f>
        <v>9.7711288224535586</v>
      </c>
      <c r="V6" s="47">
        <f>INDEX(Direct_Cost_Splits_Network,MATCH($H6,RIN_Asset_Cat_Network,0),MATCH($S$4,Direct_Cost_Type,0))*M6*HLOOKUP(V$5,Escalators!$I$25:$U$30,3,FALSE)</f>
        <v>228.11927033788282</v>
      </c>
      <c r="W6" s="47">
        <f>INDEX(Direct_Cost_Splits_Network,MATCH($H6,RIN_Asset_Cat_Network,0),MATCH($S$4,Direct_Cost_Type,0))*N6*HLOOKUP(W$5,Escalators!$I$25:$U$30,3,FALSE)</f>
        <v>465.90253696248652</v>
      </c>
      <c r="X6" s="47">
        <f>INDEX(Direct_Cost_Splits_Network,MATCH($H6,RIN_Asset_Cat_Network,0),MATCH($S$4,Direct_Cost_Type,0))*O6*HLOOKUP(X$5,Escalators!$I$25:$U$30,3,FALSE)</f>
        <v>280.78768233510152</v>
      </c>
      <c r="Y6" s="47">
        <f>INDEX(Direct_Cost_Splits_Network,MATCH($H6,RIN_Asset_Cat_Network,0),MATCH($S$4,Direct_Cost_Type,0))*P6*HLOOKUP(Y$5,Escalators!$I$25:$U$30,3,FALSE)</f>
        <v>12.710430612785826</v>
      </c>
      <c r="Z6" s="47">
        <f>INDEX(Direct_Cost_Splits_Network,MATCH($H6,RIN_Asset_Cat_Network,0),MATCH($S$4,Direct_Cost_Type,0))*Q6*HLOOKUP(Z$5,Escalators!$I$25:$U$30,3,FALSE)</f>
        <v>0</v>
      </c>
      <c r="AB6" s="6"/>
      <c r="AC6" s="6"/>
      <c r="AD6" s="6"/>
      <c r="AE6" s="6"/>
      <c r="AF6" s="6"/>
      <c r="AG6" s="47">
        <f t="shared" ref="AG6:AG15" si="8">SUM(AB6:AF6)</f>
        <v>0</v>
      </c>
      <c r="AH6" s="47">
        <f>INDEX(Direct_Cost_Splits_Network,MATCH($H6,RIN_Asset_Cat_Network,0),MATCH($AY$4,Direct_Cost_Type,0))*$K6*INDEX(Act_Type_Repex_Splits,MATCH($I6,Act_Type_Repex,0),MATCH(AH$4,Mat_Type,0))*INDEX(Escalators!$I$44:$U$49,MATCH(AH$4,Escalators!$C$44:$C$49,0),MATCH(AH$5,Escalators!$I$43:$U$43,0))</f>
        <v>0</v>
      </c>
      <c r="AI6" s="47">
        <f>INDEX(Direct_Cost_Splits_Network,MATCH($H6,RIN_Asset_Cat_Network,0),MATCH($AY$4,Direct_Cost_Type,0))*$K6*INDEX(Act_Type_Repex_Splits,MATCH($I6,Act_Type_Repex,0),MATCH(AI$4,Mat_Type,0))*INDEX(Escalators!$I$44:$U$49,MATCH(AI$4,Escalators!$C$44:$C$49,0),MATCH(AI$5,Escalators!$I$43:$U$43,0))</f>
        <v>0</v>
      </c>
      <c r="AJ6" s="47">
        <f>INDEX(Direct_Cost_Splits_Network,MATCH($H6,RIN_Asset_Cat_Network,0),MATCH($AY$4,Direct_Cost_Type,0))*$K6*INDEX(Act_Type_Repex_Splits,MATCH($I6,Act_Type_Repex,0),MATCH(AJ$4,Mat_Type,0))*INDEX(Escalators!$I$44:$U$49,MATCH(AJ$4,Escalators!$C$44:$C$49,0),MATCH(AJ$5,Escalators!$I$43:$U$43,0))</f>
        <v>0</v>
      </c>
      <c r="AK6" s="47">
        <f>INDEX(Direct_Cost_Splits_Network,MATCH($H6,RIN_Asset_Cat_Network,0),MATCH($AY$4,Direct_Cost_Type,0))*$K6*INDEX(Act_Type_Repex_Splits,MATCH($I6,Act_Type_Repex,0),MATCH(AK$4,Mat_Type,0))*INDEX(Escalators!$I$44:$U$49,MATCH(AK$4,Escalators!$C$44:$C$49,0),MATCH(AK$5,Escalators!$I$43:$U$43,0))</f>
        <v>0</v>
      </c>
      <c r="AL6" s="47">
        <f>INDEX(Direct_Cost_Splits_Network,MATCH($H6,RIN_Asset_Cat_Network,0),MATCH($AY$4,Direct_Cost_Type,0))*$K6*INDEX(Act_Type_Repex_Splits,MATCH($I6,Act_Type_Repex,0),MATCH(AL$4,Mat_Type,0))*INDEX(Escalators!$I$44:$U$49,MATCH(AL$4,Escalators!$C$44:$C$49,0),MATCH(AL$5,Escalators!$I$43:$U$43,0))</f>
        <v>0</v>
      </c>
      <c r="AM6" s="47">
        <f t="shared" ref="AM6:AM15" si="9">SUM(AH6:AL6)</f>
        <v>0</v>
      </c>
      <c r="AN6" s="47">
        <f>INDEX(Direct_Cost_Splits_Network,MATCH($H6,RIN_Asset_Cat_Network,0),MATCH($AY$4,Direct_Cost_Type,0))*$L6*INDEX(Act_Type_Repex_Splits,MATCH($I6,Act_Type_Repex,0),MATCH(AN$4,Mat_Type,0))*INDEX(Escalators!$I$44:$U$49,MATCH(AN$4,Escalators!$C$44:$C$49,0),MATCH(AN$5,Escalators!$I$43:$U$43,0))</f>
        <v>1.0514476501511072</v>
      </c>
      <c r="AO6" s="47">
        <f>INDEX(Direct_Cost_Splits_Network,MATCH($H6,RIN_Asset_Cat_Network,0),MATCH($AY$4,Direct_Cost_Type,0))*$L6*INDEX(Act_Type_Repex_Splits,MATCH($I6,Act_Type_Repex,0),MATCH(AO$4,Mat_Type,0))*INDEX(Escalators!$I$44:$U$49,MATCH(AO$4,Escalators!$C$44:$C$49,0),MATCH(AO$5,Escalators!$I$43:$U$43,0))</f>
        <v>3.1543429504533211</v>
      </c>
      <c r="AP6" s="47">
        <f>INDEX(Direct_Cost_Splits_Network,MATCH($H6,RIN_Asset_Cat_Network,0),MATCH($AY$4,Direct_Cost_Type,0))*$L6*INDEX(Act_Type_Repex_Splits,MATCH($I6,Act_Type_Repex,0),MATCH(AP$4,Mat_Type,0))*INDEX(Escalators!$I$44:$U$49,MATCH(AP$4,Escalators!$C$44:$C$49,0),MATCH(AP$5,Escalators!$I$43:$U$43,0))</f>
        <v>8.4115812012088576</v>
      </c>
      <c r="AQ6" s="47">
        <f>INDEX(Direct_Cost_Splits_Network,MATCH($H6,RIN_Asset_Cat_Network,0),MATCH($AY$4,Direct_Cost_Type,0))*$L6*INDEX(Act_Type_Repex_Splits,MATCH($I6,Act_Type_Repex,0),MATCH(AQ$4,Mat_Type,0))*INDEX(Escalators!$I$44:$U$49,MATCH(AQ$4,Escalators!$C$44:$C$49,0),MATCH(AQ$5,Escalators!$I$43:$U$43,0))</f>
        <v>0</v>
      </c>
      <c r="AR6" s="47">
        <f>INDEX(Direct_Cost_Splits_Network,MATCH($H6,RIN_Asset_Cat_Network,0),MATCH($AY$4,Direct_Cost_Type,0))*$L6*INDEX(Act_Type_Repex_Splits,MATCH($I6,Act_Type_Repex,0),MATCH(AR$4,Mat_Type,0))*INDEX(Escalators!$I$44:$U$49,MATCH(AR$4,Escalators!$C$44:$C$49,0),MATCH(AR$5,Escalators!$I$43:$U$43,0))</f>
        <v>8.4115812012088576</v>
      </c>
      <c r="AS6" s="47">
        <f t="shared" ref="AS6:AS15" si="10">SUM(AN6:AR6)</f>
        <v>21.028953003022146</v>
      </c>
      <c r="AT6" s="47">
        <f>INDEX(Direct_Cost_Splits_Network,MATCH($H6,RIN_Asset_Cat_Network,0),MATCH($AY$4,Direct_Cost_Type,0))*$M6*INDEX(Act_Type_Repex_Splits,MATCH($I6,Act_Type_Repex,0),MATCH(AT$4,Mat_Type,0))*INDEX(Escalators!$I$44:$U$49,MATCH(AT$4,Escalators!$C$44:$C$49,0),MATCH(AT$5,Escalators!$I$43:$U$43,0))</f>
        <v>24.314726909744351</v>
      </c>
      <c r="AU6" s="47">
        <f>INDEX(Direct_Cost_Splits_Network,MATCH($H6,RIN_Asset_Cat_Network,0),MATCH($AY$4,Direct_Cost_Type,0))*$M6*INDEX(Act_Type_Repex_Splits,MATCH($I6,Act_Type_Repex,0),MATCH(AU$4,Mat_Type,0))*INDEX(Escalators!$I$44:$U$49,MATCH(AU$4,Escalators!$C$44:$C$49,0),MATCH(AU$5,Escalators!$I$43:$U$43,0))</f>
        <v>72.944180729233054</v>
      </c>
      <c r="AV6" s="47">
        <f>INDEX(Direct_Cost_Splits_Network,MATCH($H6,RIN_Asset_Cat_Network,0),MATCH($AY$4,Direct_Cost_Type,0))*$M6*INDEX(Act_Type_Repex_Splits,MATCH($I6,Act_Type_Repex,0),MATCH(AV$4,Mat_Type,0))*INDEX(Escalators!$I$44:$U$49,MATCH(AV$4,Escalators!$C$44:$C$49,0),MATCH(AV$5,Escalators!$I$43:$U$43,0))</f>
        <v>194.51781527795481</v>
      </c>
      <c r="AW6" s="47">
        <f>INDEX(Direct_Cost_Splits_Network,MATCH($H6,RIN_Asset_Cat_Network,0),MATCH($AY$4,Direct_Cost_Type,0))*$M6*INDEX(Act_Type_Repex_Splits,MATCH($I6,Act_Type_Repex,0),MATCH(AW$4,Mat_Type,0))*INDEX(Escalators!$I$44:$U$49,MATCH(AW$4,Escalators!$C$44:$C$49,0),MATCH(AW$5,Escalators!$I$43:$U$43,0))</f>
        <v>0</v>
      </c>
      <c r="AX6" s="47">
        <f>INDEX(Direct_Cost_Splits_Network,MATCH($H6,RIN_Asset_Cat_Network,0),MATCH($AY$4,Direct_Cost_Type,0))*$M6*INDEX(Act_Type_Repex_Splits,MATCH($I6,Act_Type_Repex,0),MATCH(AX$4,Mat_Type,0))*INDEX(Escalators!$I$44:$U$49,MATCH(AX$4,Escalators!$C$44:$C$49,0),MATCH(AX$5,Escalators!$I$43:$U$43,0))</f>
        <v>194.51781527795481</v>
      </c>
      <c r="AY6" s="47">
        <f t="shared" ref="AY6:AY15" si="11">SUM(AT6:AX6)</f>
        <v>486.29453819488702</v>
      </c>
      <c r="AZ6" s="47">
        <f>INDEX(Direct_Cost_Splits_Network,MATCH($H6,RIN_Asset_Cat_Network,0),MATCH($BE$4,Direct_Cost_Type,0))*$N6*INDEX(Act_Type_Repex_Splits,MATCH($I6,Act_Type_Repex,0),MATCH(AZ$4,Mat_Type,0))*INDEX(Escalators!$I$44:$U$49,MATCH(AZ$4,Escalators!$C$44:$C$49,0),MATCH(AZ$5,Escalators!$I$43:$U$43,0))</f>
        <v>49.155177644564247</v>
      </c>
      <c r="BA6" s="47">
        <f>INDEX(Direct_Cost_Splits_Network,MATCH($H6,RIN_Asset_Cat_Network,0),MATCH($BE$4,Direct_Cost_Type,0))*$N6*INDEX(Act_Type_Repex_Splits,MATCH($I6,Act_Type_Repex,0),MATCH(BA$4,Mat_Type,0))*INDEX(Escalators!$I$44:$U$49,MATCH(BA$4,Escalators!$C$44:$C$49,0),MATCH(BA$5,Escalators!$I$43:$U$43,0))</f>
        <v>147.46553293369274</v>
      </c>
      <c r="BB6" s="47">
        <f>INDEX(Direct_Cost_Splits_Network,MATCH($H6,RIN_Asset_Cat_Network,0),MATCH($BE$4,Direct_Cost_Type,0))*$N6*INDEX(Act_Type_Repex_Splits,MATCH($I6,Act_Type_Repex,0),MATCH(BB$4,Mat_Type,0))*INDEX(Escalators!$I$44:$U$49,MATCH(BB$4,Escalators!$C$44:$C$49,0),MATCH(BB$5,Escalators!$I$43:$U$43,0))</f>
        <v>393.24142115651398</v>
      </c>
      <c r="BC6" s="47">
        <f>INDEX(Direct_Cost_Splits_Network,MATCH($H6,RIN_Asset_Cat_Network,0),MATCH($BE$4,Direct_Cost_Type,0))*$N6*INDEX(Act_Type_Repex_Splits,MATCH($I6,Act_Type_Repex,0),MATCH(BC$4,Mat_Type,0))*INDEX(Escalators!$I$44:$U$49,MATCH(BC$4,Escalators!$C$44:$C$49,0),MATCH(BC$5,Escalators!$I$43:$U$43,0))</f>
        <v>0</v>
      </c>
      <c r="BD6" s="47">
        <f>INDEX(Direct_Cost_Splits_Network,MATCH($H6,RIN_Asset_Cat_Network,0),MATCH($BE$4,Direct_Cost_Type,0))*$N6*INDEX(Act_Type_Repex_Splits,MATCH($I6,Act_Type_Repex,0),MATCH(BD$4,Mat_Type,0))*INDEX(Escalators!$I$44:$U$49,MATCH(BD$4,Escalators!$C$44:$C$49,0),MATCH(BD$5,Escalators!$I$43:$U$43,0))</f>
        <v>393.24142115651398</v>
      </c>
      <c r="BE6" s="47">
        <f t="shared" ref="BE6:BE15" si="12">SUM(AZ6:BD6)</f>
        <v>983.10355289128495</v>
      </c>
      <c r="BF6" s="47">
        <f>INDEX(Direct_Cost_Splits_Network,MATCH($H6,RIN_Asset_Cat_Network,0),MATCH($BK$4,Direct_Cost_Type,0))*$O6*INDEX(Act_Type_Repex_Splits,MATCH($I6,Act_Type_Repex,0),MATCH(BF$4,Mat_Type,0))*INDEX(Escalators!$I$44:$U$49,MATCH(BF$4,Escalators!$C$44:$C$49,0),MATCH(BF$5,Escalators!$I$43:$U$43,0))</f>
        <v>29.309103247962106</v>
      </c>
      <c r="BG6" s="47">
        <f>INDEX(Direct_Cost_Splits_Network,MATCH($H6,RIN_Asset_Cat_Network,0),MATCH($BK$4,Direct_Cost_Type,0))*$O6*INDEX(Act_Type_Repex_Splits,MATCH($I6,Act_Type_Repex,0),MATCH(BG$4,Mat_Type,0))*INDEX(Escalators!$I$44:$U$49,MATCH(BG$4,Escalators!$C$44:$C$49,0),MATCH(BG$5,Escalators!$I$43:$U$43,0))</f>
        <v>87.927309743886312</v>
      </c>
      <c r="BH6" s="47">
        <f>INDEX(Direct_Cost_Splits_Network,MATCH($H6,RIN_Asset_Cat_Network,0),MATCH($BK$4,Direct_Cost_Type,0))*$O6*INDEX(Act_Type_Repex_Splits,MATCH($I6,Act_Type_Repex,0),MATCH(BH$4,Mat_Type,0))*INDEX(Escalators!$I$44:$U$49,MATCH(BH$4,Escalators!$C$44:$C$49,0),MATCH(BH$5,Escalators!$I$43:$U$43,0))</f>
        <v>234.47282598369685</v>
      </c>
      <c r="BI6" s="47">
        <f>INDEX(Direct_Cost_Splits_Network,MATCH($H6,RIN_Asset_Cat_Network,0),MATCH($BK$4,Direct_Cost_Type,0))*$O6*INDEX(Act_Type_Repex_Splits,MATCH($I6,Act_Type_Repex,0),MATCH(BI$4,Mat_Type,0))*INDEX(Escalators!$I$44:$U$49,MATCH(BI$4,Escalators!$C$44:$C$49,0),MATCH(BI$5,Escalators!$I$43:$U$43,0))</f>
        <v>0</v>
      </c>
      <c r="BJ6" s="47">
        <f>INDEX(Direct_Cost_Splits_Network,MATCH($H6,RIN_Asset_Cat_Network,0),MATCH($BK$4,Direct_Cost_Type,0))*$O6*INDEX(Act_Type_Repex_Splits,MATCH($I6,Act_Type_Repex,0),MATCH(BJ$4,Mat_Type,0))*INDEX(Escalators!$I$44:$U$49,MATCH(BJ$4,Escalators!$C$44:$C$49,0),MATCH(BJ$5,Escalators!$I$43:$U$43,0))</f>
        <v>234.47282598369685</v>
      </c>
      <c r="BK6" s="47">
        <f t="shared" ref="BK6:BK15" si="13">SUM(BF6:BJ6)</f>
        <v>586.1820649592421</v>
      </c>
      <c r="BL6" s="47">
        <f>INDEX(Direct_Cost_Splits_Network,MATCH($H6,RIN_Asset_Cat_Network,0),MATCH($BQ$4,Direct_Cost_Type,0))*$P6*INDEX(Act_Type_Repex_Splits,MATCH($I6,Act_Type_Repex,0),MATCH(BL$4,Mat_Type,0))*INDEX(Escalators!$I$44:$U$49,MATCH(BL$4,Escalators!$C$44:$C$49,0),MATCH(BL$5,Escalators!$I$43:$U$43,0))</f>
        <v>1.3143095626888841</v>
      </c>
      <c r="BM6" s="47">
        <f>INDEX(Direct_Cost_Splits_Network,MATCH($H6,RIN_Asset_Cat_Network,0),MATCH($BQ$4,Direct_Cost_Type,0))*$P6*INDEX(Act_Type_Repex_Splits,MATCH($I6,Act_Type_Repex,0),MATCH(BM$4,Mat_Type,0))*INDEX(Escalators!$I$44:$U$49,MATCH(BM$4,Escalators!$C$44:$C$49,0),MATCH(BM$5,Escalators!$I$43:$U$43,0))</f>
        <v>3.9429286880666519</v>
      </c>
      <c r="BN6" s="47">
        <f>INDEX(Direct_Cost_Splits_Network,MATCH($H6,RIN_Asset_Cat_Network,0),MATCH($BQ$4,Direct_Cost_Type,0))*$P6*INDEX(Act_Type_Repex_Splits,MATCH($I6,Act_Type_Repex,0),MATCH(BN$4,Mat_Type,0))*INDEX(Escalators!$I$44:$U$49,MATCH(BN$4,Escalators!$C$44:$C$49,0),MATCH(BN$5,Escalators!$I$43:$U$43,0))</f>
        <v>10.514476501511073</v>
      </c>
      <c r="BO6" s="47">
        <f>INDEX(Direct_Cost_Splits_Network,MATCH($H6,RIN_Asset_Cat_Network,0),MATCH($BQ$4,Direct_Cost_Type,0))*$P6*INDEX(Act_Type_Repex_Splits,MATCH($I6,Act_Type_Repex,0),MATCH(BO$4,Mat_Type,0))*INDEX(Escalators!$I$44:$U$49,MATCH(BO$4,Escalators!$C$44:$C$49,0),MATCH(BO$5,Escalators!$I$43:$U$43,0))</f>
        <v>0</v>
      </c>
      <c r="BP6" s="47">
        <f>INDEX(Direct_Cost_Splits_Network,MATCH($H6,RIN_Asset_Cat_Network,0),MATCH($BQ$4,Direct_Cost_Type,0))*$P6*INDEX(Act_Type_Repex_Splits,MATCH($I6,Act_Type_Repex,0),MATCH(BP$4,Mat_Type,0))*INDEX(Escalators!$I$44:$U$49,MATCH(BP$4,Escalators!$C$44:$C$49,0),MATCH(BP$5,Escalators!$I$43:$U$43,0))</f>
        <v>10.514476501511073</v>
      </c>
      <c r="BQ6" s="47">
        <f t="shared" ref="BQ6:BQ15" si="14">SUM(BL6:BP6)</f>
        <v>26.28619125377768</v>
      </c>
      <c r="BR6" s="47">
        <f>INDEX(Direct_Cost_Splits_Network,MATCH($H6,RIN_Asset_Cat_Network,0),MATCH($BW$4,Direct_Cost_Type,0))*$Q6*INDEX(Act_Type_Repex_Splits,MATCH($I6,Act_Type_Repex,0),MATCH(BR$4,Mat_Type,0))*INDEX(Escalators!$I$44:$U$49,MATCH(BR$4,Escalators!$C$44:$C$49,0),MATCH(BR$5,Escalators!$I$43:$U$43,0))</f>
        <v>0</v>
      </c>
      <c r="BS6" s="47">
        <f>INDEX(Direct_Cost_Splits_Network,MATCH($H6,RIN_Asset_Cat_Network,0),MATCH($BW$4,Direct_Cost_Type,0))*$Q6*INDEX(Act_Type_Repex_Splits,MATCH($I6,Act_Type_Repex,0),MATCH(BS$4,Mat_Type,0))*INDEX(Escalators!$I$44:$U$49,MATCH(BS$4,Escalators!$C$44:$C$49,0),MATCH(BS$5,Escalators!$I$43:$U$43,0))</f>
        <v>0</v>
      </c>
      <c r="BT6" s="47">
        <f>INDEX(Direct_Cost_Splits_Network,MATCH($H6,RIN_Asset_Cat_Network,0),MATCH($BW$4,Direct_Cost_Type,0))*$Q6*INDEX(Act_Type_Repex_Splits,MATCH($I6,Act_Type_Repex,0),MATCH(BT$4,Mat_Type,0))*INDEX(Escalators!$I$44:$U$49,MATCH(BT$4,Escalators!$C$44:$C$49,0),MATCH(BT$5,Escalators!$I$43:$U$43,0))</f>
        <v>0</v>
      </c>
      <c r="BU6" s="47">
        <f>INDEX(Direct_Cost_Splits_Network,MATCH($H6,RIN_Asset_Cat_Network,0),MATCH($BW$4,Direct_Cost_Type,0))*$Q6*INDEX(Act_Type_Repex_Splits,MATCH($I6,Act_Type_Repex,0),MATCH(BU$4,Mat_Type,0))*INDEX(Escalators!$I$44:$U$49,MATCH(BU$4,Escalators!$C$44:$C$49,0),MATCH(BU$5,Escalators!$I$43:$U$43,0))</f>
        <v>0</v>
      </c>
      <c r="BV6" s="47">
        <f>INDEX(Direct_Cost_Splits_Network,MATCH($H6,RIN_Asset_Cat_Network,0),MATCH($BW$4,Direct_Cost_Type,0))*$Q6*INDEX(Act_Type_Repex_Splits,MATCH($I6,Act_Type_Repex,0),MATCH(BV$4,Mat_Type,0))*INDEX(Escalators!$I$44:$U$49,MATCH(BV$4,Escalators!$C$44:$C$49,0),MATCH(BV$5,Escalators!$I$43:$U$43,0))</f>
        <v>0</v>
      </c>
      <c r="BW6" s="47">
        <f t="shared" ref="BW6:BW15" si="15">SUM(BR6:BV6)</f>
        <v>0</v>
      </c>
      <c r="BY6" s="47">
        <f>INDEX(Direct_Cost_Splits_Network,MATCH($H6,RIN_Asset_Cat_Network,0),MATCH($BY$4,Direct_Cost_Type,0))*J6*HLOOKUP(BY$5,Escalators!$I$25:$U$30,6,FALSE)</f>
        <v>0</v>
      </c>
      <c r="BZ6" s="47">
        <f>INDEX(Direct_Cost_Splits_Network,MATCH($H6,RIN_Asset_Cat_Network,0),MATCH($BY$4,Direct_Cost_Type,0))*K6*HLOOKUP(BZ$5,Escalators!$I$25:$U$30,6,FALSE)</f>
        <v>0</v>
      </c>
      <c r="CA6" s="47">
        <f>INDEX(Direct_Cost_Splits_Network,MATCH($H6,RIN_Asset_Cat_Network,0),MATCH($BY$4,Direct_Cost_Type,0))*L6*HLOOKUP(CA$5,Escalators!$I$25:$U$30,6,FALSE)</f>
        <v>57.642141034823261</v>
      </c>
      <c r="CB6" s="47">
        <f>INDEX(Direct_Cost_Splits_Network,MATCH($H6,RIN_Asset_Cat_Network,0),MATCH($BY$4,Direct_Cost_Type,0))*M6*HLOOKUP(CB$5,Escalators!$I$25:$U$30,6,FALSE)</f>
        <v>1345.7281540860286</v>
      </c>
      <c r="CC6" s="47">
        <f>INDEX(Direct_Cost_Splits_Network,MATCH($H6,RIN_Asset_Cat_Network,0),MATCH($BY$4,Direct_Cost_Type,0))*N6*HLOOKUP(CC$5,Escalators!$I$25:$U$30,6,FALSE)</f>
        <v>2748.4664496860128</v>
      </c>
      <c r="CD6" s="47">
        <f>INDEX(Direct_Cost_Splits_Network,MATCH($H6,RIN_Asset_Cat_Network,0),MATCH($BY$4,Direct_Cost_Type,0))*O6*HLOOKUP(CD$5,Escalators!$I$25:$U$30,6,FALSE)</f>
        <v>1656.4312558041704</v>
      </c>
      <c r="CE6" s="47">
        <f>INDEX(Direct_Cost_Splits_Network,MATCH($H6,RIN_Asset_Cat_Network,0),MATCH($BY$4,Direct_Cost_Type,0))*P6*HLOOKUP(CE$5,Escalators!$I$25:$U$30,6,FALSE)</f>
        <v>74.981759764739593</v>
      </c>
      <c r="CF6" s="47">
        <f>INDEX(Direct_Cost_Splits_Network,MATCH($H6,RIN_Asset_Cat_Network,0),MATCH($BY$4,Direct_Cost_Type,0))*Q6*HLOOKUP(CF$5,Escalators!$I$25:$U$30,6,FALSE)</f>
        <v>0</v>
      </c>
      <c r="CH6" s="83">
        <f t="shared" ref="CH6:CH15" si="16">INDEX(Direct_Cost_Splits_Network,MATCH($H6,RIN_Asset_Cat_Network,0),MATCH($CH$4,Direct_Cost_Type,0))*J6</f>
        <v>0</v>
      </c>
      <c r="CI6" s="83">
        <f t="shared" ref="CI6:CI15" si="17">INDEX(Direct_Cost_Splits_Network,MATCH($H6,RIN_Asset_Cat_Network,0),MATCH($CH$4,Direct_Cost_Type,0))*K6</f>
        <v>0</v>
      </c>
      <c r="CJ6" s="83">
        <f t="shared" ref="CJ6:CJ15" si="18">INDEX(Direct_Cost_Splits_Network,MATCH($H6,RIN_Asset_Cat_Network,0),MATCH($CH$4,Direct_Cost_Type,0))*L6</f>
        <v>8.7179322111826654</v>
      </c>
      <c r="CK6" s="83">
        <f t="shared" ref="CK6:CK15" si="19">INDEX(Direct_Cost_Splits_Network,MATCH($H6,RIN_Asset_Cat_Network,0),MATCH($CH$4,Direct_Cost_Type,0))*M6</f>
        <v>201.60218238359914</v>
      </c>
      <c r="CL6" s="83">
        <f t="shared" ref="CL6:CL15" si="20">INDEX(Direct_Cost_Splits_Network,MATCH($H6,RIN_Asset_Cat_Network,0),MATCH($CH$4,Direct_Cost_Type,0))*N6</f>
        <v>407.56333087278961</v>
      </c>
      <c r="CM6" s="83">
        <f t="shared" ref="CM6:CM15" si="21">INDEX(Direct_Cost_Splits_Network,MATCH($H6,RIN_Asset_Cat_Network,0),MATCH($CH$4,Direct_Cost_Type,0))*O6</f>
        <v>243.01236038671681</v>
      </c>
      <c r="CN6" s="83">
        <f t="shared" ref="CN6:CN15" si="22">INDEX(Direct_Cost_Splits_Network,MATCH($H6,RIN_Asset_Cat_Network,0),MATCH($CH$4,Direct_Cost_Type,0))*P6</f>
        <v>10.897415263978333</v>
      </c>
      <c r="CO6" s="83">
        <f t="shared" ref="CO6:CO15" si="23">INDEX(Direct_Cost_Splits_Network,MATCH($H6,RIN_Asset_Cat_Network,0),MATCH($CH$4,Direct_Cost_Type,0))*Q6</f>
        <v>0</v>
      </c>
      <c r="CQ6" s="47">
        <f t="shared" ref="CQ6:CQ15" si="24">S6+AG6+BY6+CH6</f>
        <v>0</v>
      </c>
      <c r="CR6" s="47">
        <f t="shared" ref="CR6:CR15" si="25">T6+AM6+BZ6+CI6</f>
        <v>0</v>
      </c>
      <c r="CS6" s="47">
        <f t="shared" ref="CS6:CS15" si="26">U6+AS6+CA6+CJ6</f>
        <v>97.16015507148164</v>
      </c>
      <c r="CT6" s="47">
        <f t="shared" ref="CT6:CT15" si="27">V6+AY6+CB6+CK6</f>
        <v>2261.7441450023975</v>
      </c>
      <c r="CU6" s="47">
        <f t="shared" ref="CU6:CU15" si="28">W6+BE6+CC6+CL6</f>
        <v>4605.0358704125738</v>
      </c>
      <c r="CV6" s="47">
        <f t="shared" ref="CV6:CV15" si="29">X6+BK6+CD6+CM6</f>
        <v>2766.413363485231</v>
      </c>
      <c r="CW6" s="47">
        <f t="shared" ref="CW6:CW15" si="30">Y6+BQ6+CE6+CN6</f>
        <v>124.87579689528144</v>
      </c>
      <c r="CX6" s="47">
        <f t="shared" ref="CX6:CX15" si="31">Z6+BW6+CF6+CO6</f>
        <v>0</v>
      </c>
      <c r="CZ6" s="47">
        <f t="shared" ref="CZ6:CZ15" si="32">SUM(M6:Q6)</f>
        <v>9467.3700000000008</v>
      </c>
      <c r="DA6" s="47">
        <f t="shared" ref="DA6:DA15" si="33">SUM(CT6:CX6)</f>
        <v>9758.0691757954846</v>
      </c>
      <c r="DB6" s="47">
        <f>DA6*Escalators!$M$17</f>
        <v>10321.868728174779</v>
      </c>
      <c r="DC6" s="47">
        <f>SUMPRODUCT(1+AusNet_Overheads!$K$20:$O$20,CT6:CX6)</f>
        <v>10801.07065623885</v>
      </c>
      <c r="DD6" s="373">
        <f>DC6*Escalators!$M$17</f>
        <v>11425.132516377093</v>
      </c>
      <c r="DG6" s="264"/>
    </row>
    <row r="7" spans="2:112" x14ac:dyDescent="0.3">
      <c r="B7" s="7">
        <v>74422210</v>
      </c>
      <c r="C7" s="7" t="s">
        <v>431</v>
      </c>
      <c r="D7" s="7" t="s">
        <v>107</v>
      </c>
      <c r="E7" s="7" t="s">
        <v>44</v>
      </c>
      <c r="F7" s="7" t="s">
        <v>131</v>
      </c>
      <c r="G7" s="7" t="s">
        <v>150</v>
      </c>
      <c r="H7" s="7" t="s">
        <v>176</v>
      </c>
      <c r="I7" s="7" t="s">
        <v>248</v>
      </c>
      <c r="J7" s="45"/>
      <c r="K7" s="45">
        <v>0</v>
      </c>
      <c r="L7" s="45">
        <v>77.78</v>
      </c>
      <c r="M7" s="45">
        <v>1798.6625000000001</v>
      </c>
      <c r="N7" s="45">
        <v>3636.2150000000001</v>
      </c>
      <c r="O7" s="45">
        <v>2168.1175000000003</v>
      </c>
      <c r="P7" s="45">
        <v>97.225000000000009</v>
      </c>
      <c r="Q7" s="45">
        <v>0</v>
      </c>
      <c r="S7" s="47">
        <f>INDEX(Direct_Cost_Splits_Network,MATCH($H7,RIN_Asset_Cat_Network,0),MATCH($S$4,Direct_Cost_Type,0))*J7*HLOOKUP(S$5,Escalators!$I$25:$U$30,3,FALSE)</f>
        <v>0</v>
      </c>
      <c r="T7" s="47">
        <f>INDEX(Direct_Cost_Splits_Network,MATCH($H7,RIN_Asset_Cat_Network,0),MATCH($S$4,Direct_Cost_Type,0))*K7*HLOOKUP(T$5,Escalators!$I$25:$U$30,3,FALSE)</f>
        <v>0</v>
      </c>
      <c r="U7" s="47">
        <f>INDEX(Direct_Cost_Splits_Network,MATCH($H7,RIN_Asset_Cat_Network,0),MATCH($S$4,Direct_Cost_Type,0))*L7*HLOOKUP(U$5,Escalators!$I$25:$U$30,3,FALSE)</f>
        <v>7.9472801402325404</v>
      </c>
      <c r="V7" s="47">
        <f>INDEX(Direct_Cost_Splits_Network,MATCH($H7,RIN_Asset_Cat_Network,0),MATCH($S$4,Direct_Cost_Type,0))*M7*HLOOKUP(V$5,Escalators!$I$25:$U$30,3,FALSE)</f>
        <v>185.53923294866181</v>
      </c>
      <c r="W7" s="47">
        <f>INDEX(Direct_Cost_Splits_Network,MATCH($H7,RIN_Asset_Cat_Network,0),MATCH($S$4,Direct_Cost_Type,0))*N7*HLOOKUP(W$5,Escalators!$I$25:$U$30,3,FALSE)</f>
        <v>378.93861052956396</v>
      </c>
      <c r="X7" s="47">
        <f>INDEX(Direct_Cost_Splits_Network,MATCH($H7,RIN_Asset_Cat_Network,0),MATCH($S$4,Direct_Cost_Type,0))*O7*HLOOKUP(X$5,Escalators!$I$25:$U$30,3,FALSE)</f>
        <v>228.37672207491582</v>
      </c>
      <c r="Y7" s="47">
        <f>INDEX(Direct_Cost_Splits_Network,MATCH($H7,RIN_Asset_Cat_Network,0),MATCH($S$4,Direct_Cost_Type,0))*P7*HLOOKUP(Y$5,Escalators!$I$25:$U$30,3,FALSE)</f>
        <v>10.337940950146205</v>
      </c>
      <c r="Z7" s="47">
        <f>INDEX(Direct_Cost_Splits_Network,MATCH($H7,RIN_Asset_Cat_Network,0),MATCH($S$4,Direct_Cost_Type,0))*Q7*HLOOKUP(Z$5,Escalators!$I$25:$U$30,3,FALSE)</f>
        <v>0</v>
      </c>
      <c r="AB7" s="6"/>
      <c r="AC7" s="6"/>
      <c r="AD7" s="6"/>
      <c r="AE7" s="6"/>
      <c r="AF7" s="6"/>
      <c r="AG7" s="47">
        <f t="shared" si="8"/>
        <v>0</v>
      </c>
      <c r="AH7" s="47">
        <f>INDEX(Direct_Cost_Splits_Network,MATCH($H7,RIN_Asset_Cat_Network,0),MATCH($AY$4,Direct_Cost_Type,0))*$K7*INDEX(Act_Type_Repex_Splits,MATCH($I7,Act_Type_Repex,0),MATCH(AH$4,Mat_Type,0))*INDEX(Escalators!$I$44:$U$49,MATCH(AH$4,Escalators!$C$44:$C$49,0),MATCH(AH$5,Escalators!$I$43:$U$43,0))</f>
        <v>0</v>
      </c>
      <c r="AI7" s="47">
        <f>INDEX(Direct_Cost_Splits_Network,MATCH($H7,RIN_Asset_Cat_Network,0),MATCH($AY$4,Direct_Cost_Type,0))*$K7*INDEX(Act_Type_Repex_Splits,MATCH($I7,Act_Type_Repex,0),MATCH(AI$4,Mat_Type,0))*INDEX(Escalators!$I$44:$U$49,MATCH(AI$4,Escalators!$C$44:$C$49,0),MATCH(AI$5,Escalators!$I$43:$U$43,0))</f>
        <v>0</v>
      </c>
      <c r="AJ7" s="47">
        <f>INDEX(Direct_Cost_Splits_Network,MATCH($H7,RIN_Asset_Cat_Network,0),MATCH($AY$4,Direct_Cost_Type,0))*$K7*INDEX(Act_Type_Repex_Splits,MATCH($I7,Act_Type_Repex,0),MATCH(AJ$4,Mat_Type,0))*INDEX(Escalators!$I$44:$U$49,MATCH(AJ$4,Escalators!$C$44:$C$49,0),MATCH(AJ$5,Escalators!$I$43:$U$43,0))</f>
        <v>0</v>
      </c>
      <c r="AK7" s="47">
        <f>INDEX(Direct_Cost_Splits_Network,MATCH($H7,RIN_Asset_Cat_Network,0),MATCH($AY$4,Direct_Cost_Type,0))*$K7*INDEX(Act_Type_Repex_Splits,MATCH($I7,Act_Type_Repex,0),MATCH(AK$4,Mat_Type,0))*INDEX(Escalators!$I$44:$U$49,MATCH(AK$4,Escalators!$C$44:$C$49,0),MATCH(AK$5,Escalators!$I$43:$U$43,0))</f>
        <v>0</v>
      </c>
      <c r="AL7" s="47">
        <f>INDEX(Direct_Cost_Splits_Network,MATCH($H7,RIN_Asset_Cat_Network,0),MATCH($AY$4,Direct_Cost_Type,0))*$K7*INDEX(Act_Type_Repex_Splits,MATCH($I7,Act_Type_Repex,0),MATCH(AL$4,Mat_Type,0))*INDEX(Escalators!$I$44:$U$49,MATCH(AL$4,Escalators!$C$44:$C$49,0),MATCH(AL$5,Escalators!$I$43:$U$43,0))</f>
        <v>0</v>
      </c>
      <c r="AM7" s="47">
        <f t="shared" si="9"/>
        <v>0</v>
      </c>
      <c r="AN7" s="47">
        <f>INDEX(Direct_Cost_Splits_Network,MATCH($H7,RIN_Asset_Cat_Network,0),MATCH($AY$4,Direct_Cost_Type,0))*$L7*INDEX(Act_Type_Repex_Splits,MATCH($I7,Act_Type_Repex,0),MATCH(AN$4,Mat_Type,0))*INDEX(Escalators!$I$44:$U$49,MATCH(AN$4,Escalators!$C$44:$C$49,0),MATCH(AN$5,Escalators!$I$43:$U$43,0))</f>
        <v>0.8551876840819107</v>
      </c>
      <c r="AO7" s="47">
        <f>INDEX(Direct_Cost_Splits_Network,MATCH($H7,RIN_Asset_Cat_Network,0),MATCH($AY$4,Direct_Cost_Type,0))*$L7*INDEX(Act_Type_Repex_Splits,MATCH($I7,Act_Type_Repex,0),MATCH(AO$4,Mat_Type,0))*INDEX(Escalators!$I$44:$U$49,MATCH(AO$4,Escalators!$C$44:$C$49,0),MATCH(AO$5,Escalators!$I$43:$U$43,0))</f>
        <v>2.5655630522457318</v>
      </c>
      <c r="AP7" s="47">
        <f>INDEX(Direct_Cost_Splits_Network,MATCH($H7,RIN_Asset_Cat_Network,0),MATCH($AY$4,Direct_Cost_Type,0))*$L7*INDEX(Act_Type_Repex_Splits,MATCH($I7,Act_Type_Repex,0),MATCH(AP$4,Mat_Type,0))*INDEX(Escalators!$I$44:$U$49,MATCH(AP$4,Escalators!$C$44:$C$49,0),MATCH(AP$5,Escalators!$I$43:$U$43,0))</f>
        <v>6.8415014726552856</v>
      </c>
      <c r="AQ7" s="47">
        <f>INDEX(Direct_Cost_Splits_Network,MATCH($H7,RIN_Asset_Cat_Network,0),MATCH($AY$4,Direct_Cost_Type,0))*$L7*INDEX(Act_Type_Repex_Splits,MATCH($I7,Act_Type_Repex,0),MATCH(AQ$4,Mat_Type,0))*INDEX(Escalators!$I$44:$U$49,MATCH(AQ$4,Escalators!$C$44:$C$49,0),MATCH(AQ$5,Escalators!$I$43:$U$43,0))</f>
        <v>0</v>
      </c>
      <c r="AR7" s="47">
        <f>INDEX(Direct_Cost_Splits_Network,MATCH($H7,RIN_Asset_Cat_Network,0),MATCH($AY$4,Direct_Cost_Type,0))*$L7*INDEX(Act_Type_Repex_Splits,MATCH($I7,Act_Type_Repex,0),MATCH(AR$4,Mat_Type,0))*INDEX(Escalators!$I$44:$U$49,MATCH(AR$4,Escalators!$C$44:$C$49,0),MATCH(AR$5,Escalators!$I$43:$U$43,0))</f>
        <v>6.8415014726552856</v>
      </c>
      <c r="AS7" s="47">
        <f t="shared" si="10"/>
        <v>17.103753681638214</v>
      </c>
      <c r="AT7" s="47">
        <f>INDEX(Direct_Cost_Splits_Network,MATCH($H7,RIN_Asset_Cat_Network,0),MATCH($AY$4,Direct_Cost_Type,0))*$M7*INDEX(Act_Type_Repex_Splits,MATCH($I7,Act_Type_Repex,0),MATCH(AT$4,Mat_Type,0))*INDEX(Escalators!$I$44:$U$49,MATCH(AT$4,Escalators!$C$44:$C$49,0),MATCH(AT$5,Escalators!$I$43:$U$43,0))</f>
        <v>19.776215194394183</v>
      </c>
      <c r="AU7" s="47">
        <f>INDEX(Direct_Cost_Splits_Network,MATCH($H7,RIN_Asset_Cat_Network,0),MATCH($AY$4,Direct_Cost_Type,0))*$M7*INDEX(Act_Type_Repex_Splits,MATCH($I7,Act_Type_Repex,0),MATCH(AU$4,Mat_Type,0))*INDEX(Escalators!$I$44:$U$49,MATCH(AU$4,Escalators!$C$44:$C$49,0),MATCH(AU$5,Escalators!$I$43:$U$43,0))</f>
        <v>59.328645583182549</v>
      </c>
      <c r="AV7" s="47">
        <f>INDEX(Direct_Cost_Splits_Network,MATCH($H7,RIN_Asset_Cat_Network,0),MATCH($AY$4,Direct_Cost_Type,0))*$M7*INDEX(Act_Type_Repex_Splits,MATCH($I7,Act_Type_Repex,0),MATCH(AV$4,Mat_Type,0))*INDEX(Escalators!$I$44:$U$49,MATCH(AV$4,Escalators!$C$44:$C$49,0),MATCH(AV$5,Escalators!$I$43:$U$43,0))</f>
        <v>158.20972155515346</v>
      </c>
      <c r="AW7" s="47">
        <f>INDEX(Direct_Cost_Splits_Network,MATCH($H7,RIN_Asset_Cat_Network,0),MATCH($AY$4,Direct_Cost_Type,0))*$M7*INDEX(Act_Type_Repex_Splits,MATCH($I7,Act_Type_Repex,0),MATCH(AW$4,Mat_Type,0))*INDEX(Escalators!$I$44:$U$49,MATCH(AW$4,Escalators!$C$44:$C$49,0),MATCH(AW$5,Escalators!$I$43:$U$43,0))</f>
        <v>0</v>
      </c>
      <c r="AX7" s="47">
        <f>INDEX(Direct_Cost_Splits_Network,MATCH($H7,RIN_Asset_Cat_Network,0),MATCH($AY$4,Direct_Cost_Type,0))*$M7*INDEX(Act_Type_Repex_Splits,MATCH($I7,Act_Type_Repex,0),MATCH(AX$4,Mat_Type,0))*INDEX(Escalators!$I$44:$U$49,MATCH(AX$4,Escalators!$C$44:$C$49,0),MATCH(AX$5,Escalators!$I$43:$U$43,0))</f>
        <v>158.20972155515346</v>
      </c>
      <c r="AY7" s="47">
        <f t="shared" si="11"/>
        <v>395.52430388788366</v>
      </c>
      <c r="AZ7" s="47">
        <f>INDEX(Direct_Cost_Splits_Network,MATCH($H7,RIN_Asset_Cat_Network,0),MATCH($BE$4,Direct_Cost_Type,0))*$N7*INDEX(Act_Type_Repex_Splits,MATCH($I7,Act_Type_Repex,0),MATCH(AZ$4,Mat_Type,0))*INDEX(Escalators!$I$44:$U$49,MATCH(AZ$4,Escalators!$C$44:$C$49,0),MATCH(AZ$5,Escalators!$I$43:$U$43,0))</f>
        <v>39.980024230829322</v>
      </c>
      <c r="BA7" s="47">
        <f>INDEX(Direct_Cost_Splits_Network,MATCH($H7,RIN_Asset_Cat_Network,0),MATCH($BE$4,Direct_Cost_Type,0))*$N7*INDEX(Act_Type_Repex_Splits,MATCH($I7,Act_Type_Repex,0),MATCH(BA$4,Mat_Type,0))*INDEX(Escalators!$I$44:$U$49,MATCH(BA$4,Escalators!$C$44:$C$49,0),MATCH(BA$5,Escalators!$I$43:$U$43,0))</f>
        <v>119.94007269248796</v>
      </c>
      <c r="BB7" s="47">
        <f>INDEX(Direct_Cost_Splits_Network,MATCH($H7,RIN_Asset_Cat_Network,0),MATCH($BE$4,Direct_Cost_Type,0))*$N7*INDEX(Act_Type_Repex_Splits,MATCH($I7,Act_Type_Repex,0),MATCH(BB$4,Mat_Type,0))*INDEX(Escalators!$I$44:$U$49,MATCH(BB$4,Escalators!$C$44:$C$49,0),MATCH(BB$5,Escalators!$I$43:$U$43,0))</f>
        <v>319.84019384663458</v>
      </c>
      <c r="BC7" s="47">
        <f>INDEX(Direct_Cost_Splits_Network,MATCH($H7,RIN_Asset_Cat_Network,0),MATCH($BE$4,Direct_Cost_Type,0))*$N7*INDEX(Act_Type_Repex_Splits,MATCH($I7,Act_Type_Repex,0),MATCH(BC$4,Mat_Type,0))*INDEX(Escalators!$I$44:$U$49,MATCH(BC$4,Escalators!$C$44:$C$49,0),MATCH(BC$5,Escalators!$I$43:$U$43,0))</f>
        <v>0</v>
      </c>
      <c r="BD7" s="47">
        <f>INDEX(Direct_Cost_Splits_Network,MATCH($H7,RIN_Asset_Cat_Network,0),MATCH($BE$4,Direct_Cost_Type,0))*$N7*INDEX(Act_Type_Repex_Splits,MATCH($I7,Act_Type_Repex,0),MATCH(BD$4,Mat_Type,0))*INDEX(Escalators!$I$44:$U$49,MATCH(BD$4,Escalators!$C$44:$C$49,0),MATCH(BD$5,Escalators!$I$43:$U$43,0))</f>
        <v>319.84019384663458</v>
      </c>
      <c r="BE7" s="47">
        <f t="shared" si="12"/>
        <v>799.60048461658653</v>
      </c>
      <c r="BF7" s="47">
        <f>INDEX(Direct_Cost_Splits_Network,MATCH($H7,RIN_Asset_Cat_Network,0),MATCH($BK$4,Direct_Cost_Type,0))*$O7*INDEX(Act_Type_Repex_Splits,MATCH($I7,Act_Type_Repex,0),MATCH(BF$4,Mat_Type,0))*INDEX(Escalators!$I$44:$U$49,MATCH(BF$4,Escalators!$C$44:$C$49,0),MATCH(BF$5,Escalators!$I$43:$U$43,0))</f>
        <v>23.838356693783261</v>
      </c>
      <c r="BG7" s="47">
        <f>INDEX(Direct_Cost_Splits_Network,MATCH($H7,RIN_Asset_Cat_Network,0),MATCH($BK$4,Direct_Cost_Type,0))*$O7*INDEX(Act_Type_Repex_Splits,MATCH($I7,Act_Type_Repex,0),MATCH(BG$4,Mat_Type,0))*INDEX(Escalators!$I$44:$U$49,MATCH(BG$4,Escalators!$C$44:$C$49,0),MATCH(BG$5,Escalators!$I$43:$U$43,0))</f>
        <v>71.515070081349776</v>
      </c>
      <c r="BH7" s="47">
        <f>INDEX(Direct_Cost_Splits_Network,MATCH($H7,RIN_Asset_Cat_Network,0),MATCH($BK$4,Direct_Cost_Type,0))*$O7*INDEX(Act_Type_Repex_Splits,MATCH($I7,Act_Type_Repex,0),MATCH(BH$4,Mat_Type,0))*INDEX(Escalators!$I$44:$U$49,MATCH(BH$4,Escalators!$C$44:$C$49,0),MATCH(BH$5,Escalators!$I$43:$U$43,0))</f>
        <v>190.70685355026609</v>
      </c>
      <c r="BI7" s="47">
        <f>INDEX(Direct_Cost_Splits_Network,MATCH($H7,RIN_Asset_Cat_Network,0),MATCH($BK$4,Direct_Cost_Type,0))*$O7*INDEX(Act_Type_Repex_Splits,MATCH($I7,Act_Type_Repex,0),MATCH(BI$4,Mat_Type,0))*INDEX(Escalators!$I$44:$U$49,MATCH(BI$4,Escalators!$C$44:$C$49,0),MATCH(BI$5,Escalators!$I$43:$U$43,0))</f>
        <v>0</v>
      </c>
      <c r="BJ7" s="47">
        <f>INDEX(Direct_Cost_Splits_Network,MATCH($H7,RIN_Asset_Cat_Network,0),MATCH($BK$4,Direct_Cost_Type,0))*$O7*INDEX(Act_Type_Repex_Splits,MATCH($I7,Act_Type_Repex,0),MATCH(BJ$4,Mat_Type,0))*INDEX(Escalators!$I$44:$U$49,MATCH(BJ$4,Escalators!$C$44:$C$49,0),MATCH(BJ$5,Escalators!$I$43:$U$43,0))</f>
        <v>190.70685355026609</v>
      </c>
      <c r="BK7" s="47">
        <f t="shared" si="13"/>
        <v>476.76713387566525</v>
      </c>
      <c r="BL7" s="47">
        <f>INDEX(Direct_Cost_Splits_Network,MATCH($H7,RIN_Asset_Cat_Network,0),MATCH($BQ$4,Direct_Cost_Type,0))*$P7*INDEX(Act_Type_Repex_Splits,MATCH($I7,Act_Type_Repex,0),MATCH(BL$4,Mat_Type,0))*INDEX(Escalators!$I$44:$U$49,MATCH(BL$4,Escalators!$C$44:$C$49,0),MATCH(BL$5,Escalators!$I$43:$U$43,0))</f>
        <v>1.0689846051023884</v>
      </c>
      <c r="BM7" s="47">
        <f>INDEX(Direct_Cost_Splits_Network,MATCH($H7,RIN_Asset_Cat_Network,0),MATCH($BQ$4,Direct_Cost_Type,0))*$P7*INDEX(Act_Type_Repex_Splits,MATCH($I7,Act_Type_Repex,0),MATCH(BM$4,Mat_Type,0))*INDEX(Escalators!$I$44:$U$49,MATCH(BM$4,Escalators!$C$44:$C$49,0),MATCH(BM$5,Escalators!$I$43:$U$43,0))</f>
        <v>3.2069538153071648</v>
      </c>
      <c r="BN7" s="47">
        <f>INDEX(Direct_Cost_Splits_Network,MATCH($H7,RIN_Asset_Cat_Network,0),MATCH($BQ$4,Direct_Cost_Type,0))*$P7*INDEX(Act_Type_Repex_Splits,MATCH($I7,Act_Type_Repex,0),MATCH(BN$4,Mat_Type,0))*INDEX(Escalators!$I$44:$U$49,MATCH(BN$4,Escalators!$C$44:$C$49,0),MATCH(BN$5,Escalators!$I$43:$U$43,0))</f>
        <v>8.5518768408191068</v>
      </c>
      <c r="BO7" s="47">
        <f>INDEX(Direct_Cost_Splits_Network,MATCH($H7,RIN_Asset_Cat_Network,0),MATCH($BQ$4,Direct_Cost_Type,0))*$P7*INDEX(Act_Type_Repex_Splits,MATCH($I7,Act_Type_Repex,0),MATCH(BO$4,Mat_Type,0))*INDEX(Escalators!$I$44:$U$49,MATCH(BO$4,Escalators!$C$44:$C$49,0),MATCH(BO$5,Escalators!$I$43:$U$43,0))</f>
        <v>0</v>
      </c>
      <c r="BP7" s="47">
        <f>INDEX(Direct_Cost_Splits_Network,MATCH($H7,RIN_Asset_Cat_Network,0),MATCH($BQ$4,Direct_Cost_Type,0))*$P7*INDEX(Act_Type_Repex_Splits,MATCH($I7,Act_Type_Repex,0),MATCH(BP$4,Mat_Type,0))*INDEX(Escalators!$I$44:$U$49,MATCH(BP$4,Escalators!$C$44:$C$49,0),MATCH(BP$5,Escalators!$I$43:$U$43,0))</f>
        <v>8.5518768408191068</v>
      </c>
      <c r="BQ7" s="47">
        <f t="shared" si="14"/>
        <v>21.37969210204777</v>
      </c>
      <c r="BR7" s="47">
        <f>INDEX(Direct_Cost_Splits_Network,MATCH($H7,RIN_Asset_Cat_Network,0),MATCH($BW$4,Direct_Cost_Type,0))*$Q7*INDEX(Act_Type_Repex_Splits,MATCH($I7,Act_Type_Repex,0),MATCH(BR$4,Mat_Type,0))*INDEX(Escalators!$I$44:$U$49,MATCH(BR$4,Escalators!$C$44:$C$49,0),MATCH(BR$5,Escalators!$I$43:$U$43,0))</f>
        <v>0</v>
      </c>
      <c r="BS7" s="47">
        <f>INDEX(Direct_Cost_Splits_Network,MATCH($H7,RIN_Asset_Cat_Network,0),MATCH($BW$4,Direct_Cost_Type,0))*$Q7*INDEX(Act_Type_Repex_Splits,MATCH($I7,Act_Type_Repex,0),MATCH(BS$4,Mat_Type,0))*INDEX(Escalators!$I$44:$U$49,MATCH(BS$4,Escalators!$C$44:$C$49,0),MATCH(BS$5,Escalators!$I$43:$U$43,0))</f>
        <v>0</v>
      </c>
      <c r="BT7" s="47">
        <f>INDEX(Direct_Cost_Splits_Network,MATCH($H7,RIN_Asset_Cat_Network,0),MATCH($BW$4,Direct_Cost_Type,0))*$Q7*INDEX(Act_Type_Repex_Splits,MATCH($I7,Act_Type_Repex,0),MATCH(BT$4,Mat_Type,0))*INDEX(Escalators!$I$44:$U$49,MATCH(BT$4,Escalators!$C$44:$C$49,0),MATCH(BT$5,Escalators!$I$43:$U$43,0))</f>
        <v>0</v>
      </c>
      <c r="BU7" s="47">
        <f>INDEX(Direct_Cost_Splits_Network,MATCH($H7,RIN_Asset_Cat_Network,0),MATCH($BW$4,Direct_Cost_Type,0))*$Q7*INDEX(Act_Type_Repex_Splits,MATCH($I7,Act_Type_Repex,0),MATCH(BU$4,Mat_Type,0))*INDEX(Escalators!$I$44:$U$49,MATCH(BU$4,Escalators!$C$44:$C$49,0),MATCH(BU$5,Escalators!$I$43:$U$43,0))</f>
        <v>0</v>
      </c>
      <c r="BV7" s="47">
        <f>INDEX(Direct_Cost_Splits_Network,MATCH($H7,RIN_Asset_Cat_Network,0),MATCH($BW$4,Direct_Cost_Type,0))*$Q7*INDEX(Act_Type_Repex_Splits,MATCH($I7,Act_Type_Repex,0),MATCH(BV$4,Mat_Type,0))*INDEX(Escalators!$I$44:$U$49,MATCH(BV$4,Escalators!$C$44:$C$49,0),MATCH(BV$5,Escalators!$I$43:$U$43,0))</f>
        <v>0</v>
      </c>
      <c r="BW7" s="47">
        <f t="shared" si="15"/>
        <v>0</v>
      </c>
      <c r="BY7" s="47">
        <f>INDEX(Direct_Cost_Splits_Network,MATCH($H7,RIN_Asset_Cat_Network,0),MATCH($BY$4,Direct_Cost_Type,0))*J7*HLOOKUP(BY$5,Escalators!$I$25:$U$30,6,FALSE)</f>
        <v>0</v>
      </c>
      <c r="BZ7" s="47">
        <f>INDEX(Direct_Cost_Splits_Network,MATCH($H7,RIN_Asset_Cat_Network,0),MATCH($BY$4,Direct_Cost_Type,0))*K7*HLOOKUP(BZ$5,Escalators!$I$25:$U$30,6,FALSE)</f>
        <v>0</v>
      </c>
      <c r="CA7" s="47">
        <f>INDEX(Direct_Cost_Splits_Network,MATCH($H7,RIN_Asset_Cat_Network,0),MATCH($BY$4,Direct_Cost_Type,0))*L7*HLOOKUP(CA$5,Escalators!$I$25:$U$30,6,FALSE)</f>
        <v>46.882837286296699</v>
      </c>
      <c r="CB7" s="47">
        <f>INDEX(Direct_Cost_Splits_Network,MATCH($H7,RIN_Asset_Cat_Network,0),MATCH($BY$4,Direct_Cost_Type,0))*M7*HLOOKUP(CB$5,Escalators!$I$25:$U$30,6,FALSE)</f>
        <v>1094.5386994124365</v>
      </c>
      <c r="CC7" s="47">
        <f>INDEX(Direct_Cost_Splits_Network,MATCH($H7,RIN_Asset_Cat_Network,0),MATCH($BY$4,Direct_Cost_Type,0))*N7*HLOOKUP(CC$5,Escalators!$I$25:$U$30,6,FALSE)</f>
        <v>2235.4462036659847</v>
      </c>
      <c r="CD7" s="47">
        <f>INDEX(Direct_Cost_Splits_Network,MATCH($H7,RIN_Asset_Cat_Network,0),MATCH($BY$4,Direct_Cost_Type,0))*O7*HLOOKUP(CD$5,Escalators!$I$25:$U$30,6,FALSE)</f>
        <v>1347.2469212218803</v>
      </c>
      <c r="CE7" s="47">
        <f>INDEX(Direct_Cost_Splits_Network,MATCH($H7,RIN_Asset_Cat_Network,0),MATCH($BY$4,Direct_Cost_Type,0))*P7*HLOOKUP(CE$5,Escalators!$I$25:$U$30,6,FALSE)</f>
        <v>60.985896418503039</v>
      </c>
      <c r="CF7" s="47">
        <f>INDEX(Direct_Cost_Splits_Network,MATCH($H7,RIN_Asset_Cat_Network,0),MATCH($BY$4,Direct_Cost_Type,0))*Q7*HLOOKUP(CF$5,Escalators!$I$25:$U$30,6,FALSE)</f>
        <v>0</v>
      </c>
      <c r="CH7" s="83">
        <f t="shared" si="16"/>
        <v>0</v>
      </c>
      <c r="CI7" s="83">
        <f t="shared" si="17"/>
        <v>0</v>
      </c>
      <c r="CJ7" s="83">
        <f t="shared" si="18"/>
        <v>7.0906699507036262</v>
      </c>
      <c r="CK7" s="83">
        <f t="shared" si="19"/>
        <v>163.97174261002138</v>
      </c>
      <c r="CL7" s="83">
        <f t="shared" si="20"/>
        <v>331.48882019539457</v>
      </c>
      <c r="CM7" s="83">
        <f t="shared" si="21"/>
        <v>197.6524248758636</v>
      </c>
      <c r="CN7" s="83">
        <f t="shared" si="22"/>
        <v>8.8633374383795331</v>
      </c>
      <c r="CO7" s="83">
        <f t="shared" si="23"/>
        <v>0</v>
      </c>
      <c r="CQ7" s="47">
        <f t="shared" si="24"/>
        <v>0</v>
      </c>
      <c r="CR7" s="47">
        <f t="shared" si="25"/>
        <v>0</v>
      </c>
      <c r="CS7" s="47">
        <f t="shared" si="26"/>
        <v>79.02454105887108</v>
      </c>
      <c r="CT7" s="47">
        <f t="shared" si="27"/>
        <v>1839.5739788590035</v>
      </c>
      <c r="CU7" s="47">
        <f t="shared" si="28"/>
        <v>3745.4741190075297</v>
      </c>
      <c r="CV7" s="47">
        <f t="shared" si="29"/>
        <v>2250.0432020483249</v>
      </c>
      <c r="CW7" s="47">
        <f t="shared" si="30"/>
        <v>101.56686690907655</v>
      </c>
      <c r="CX7" s="47">
        <f t="shared" si="31"/>
        <v>0</v>
      </c>
      <c r="CZ7" s="47">
        <f t="shared" si="32"/>
        <v>7700.2200000000012</v>
      </c>
      <c r="DA7" s="47">
        <f t="shared" si="33"/>
        <v>7936.6581668239342</v>
      </c>
      <c r="DB7" s="47">
        <f>DA7*Escalators!$M$17</f>
        <v>8395.220638684872</v>
      </c>
      <c r="DC7" s="47">
        <f>SUMPRODUCT(1+AusNet_Overheads!$K$20:$O$20,CT7:CX7)</f>
        <v>8784.9762171102993</v>
      </c>
      <c r="DD7" s="373">
        <f>DC7*Escalators!$M$17</f>
        <v>9292.5526207655603</v>
      </c>
      <c r="DE7" s="158"/>
      <c r="DF7" s="158"/>
      <c r="DG7" s="204"/>
      <c r="DH7" s="263"/>
    </row>
    <row r="8" spans="2:112" x14ac:dyDescent="0.3">
      <c r="B8" s="7">
        <v>74422209</v>
      </c>
      <c r="C8" s="7" t="s">
        <v>432</v>
      </c>
      <c r="D8" s="7" t="s">
        <v>107</v>
      </c>
      <c r="E8" s="7" t="s">
        <v>44</v>
      </c>
      <c r="F8" s="7" t="s">
        <v>131</v>
      </c>
      <c r="G8" s="7" t="s">
        <v>150</v>
      </c>
      <c r="H8" s="7" t="s">
        <v>176</v>
      </c>
      <c r="I8" s="7" t="s">
        <v>248</v>
      </c>
      <c r="J8" s="45"/>
      <c r="K8" s="45">
        <v>0</v>
      </c>
      <c r="L8" s="45">
        <v>0</v>
      </c>
      <c r="M8" s="45">
        <v>128.31</v>
      </c>
      <c r="N8" s="45">
        <v>2967.1687500000003</v>
      </c>
      <c r="O8" s="45">
        <v>5998.4924999999994</v>
      </c>
      <c r="P8" s="45">
        <v>3576.6412499999997</v>
      </c>
      <c r="Q8" s="45">
        <v>160.38750000000002</v>
      </c>
      <c r="S8" s="47">
        <f>INDEX(Direct_Cost_Splits_Network,MATCH($H8,RIN_Asset_Cat_Network,0),MATCH($S$4,Direct_Cost_Type,0))*J8*HLOOKUP(S$5,Escalators!$I$25:$U$30,3,FALSE)</f>
        <v>0</v>
      </c>
      <c r="T8" s="47">
        <f>INDEX(Direct_Cost_Splits_Network,MATCH($H8,RIN_Asset_Cat_Network,0),MATCH($S$4,Direct_Cost_Type,0))*K8*HLOOKUP(T$5,Escalators!$I$25:$U$30,3,FALSE)</f>
        <v>0</v>
      </c>
      <c r="U8" s="47">
        <f>INDEX(Direct_Cost_Splits_Network,MATCH($H8,RIN_Asset_Cat_Network,0),MATCH($S$4,Direct_Cost_Type,0))*L8*HLOOKUP(U$5,Escalators!$I$25:$U$30,3,FALSE)</f>
        <v>0</v>
      </c>
      <c r="V8" s="47">
        <f>INDEX(Direct_Cost_Splits_Network,MATCH($H8,RIN_Asset_Cat_Network,0),MATCH($S$4,Direct_Cost_Type,0))*M8*HLOOKUP(V$5,Escalators!$I$25:$U$30,3,FALSE)</f>
        <v>13.235689841558822</v>
      </c>
      <c r="W8" s="47">
        <f>INDEX(Direct_Cost_Splits_Network,MATCH($H8,RIN_Asset_Cat_Network,0),MATCH($S$4,Direct_Cost_Type,0))*N8*HLOOKUP(W$5,Escalators!$I$25:$U$30,3,FALSE)</f>
        <v>309.21571010838005</v>
      </c>
      <c r="X8" s="47">
        <f>INDEX(Direct_Cost_Splits_Network,MATCH($H8,RIN_Asset_Cat_Network,0),MATCH($S$4,Direct_Cost_Type,0))*O8*HLOOKUP(X$5,Escalators!$I$25:$U$30,3,FALSE)</f>
        <v>631.84585454476826</v>
      </c>
      <c r="Y8" s="47">
        <f>INDEX(Direct_Cost_Splits_Network,MATCH($H8,RIN_Asset_Cat_Network,0),MATCH($S$4,Direct_Cost_Type,0))*P8*HLOOKUP(Y$5,Escalators!$I$25:$U$30,3,FALSE)</f>
        <v>380.30451059251328</v>
      </c>
      <c r="Z8" s="47">
        <f>INDEX(Direct_Cost_Splits_Network,MATCH($H8,RIN_Asset_Cat_Network,0),MATCH($S$4,Direct_Cost_Type,0))*Q8*HLOOKUP(Z$5,Escalators!$I$25:$U$30,3,FALSE)</f>
        <v>17.204089250481051</v>
      </c>
      <c r="AB8" s="6"/>
      <c r="AC8" s="6"/>
      <c r="AD8" s="6"/>
      <c r="AE8" s="6"/>
      <c r="AF8" s="6"/>
      <c r="AG8" s="47">
        <f t="shared" si="8"/>
        <v>0</v>
      </c>
      <c r="AH8" s="47">
        <f>INDEX(Direct_Cost_Splits_Network,MATCH($H8,RIN_Asset_Cat_Network,0),MATCH($AY$4,Direct_Cost_Type,0))*$K8*INDEX(Act_Type_Repex_Splits,MATCH($I8,Act_Type_Repex,0),MATCH(AH$4,Mat_Type,0))*INDEX(Escalators!$I$44:$U$49,MATCH(AH$4,Escalators!$C$44:$C$49,0),MATCH(AH$5,Escalators!$I$43:$U$43,0))</f>
        <v>0</v>
      </c>
      <c r="AI8" s="47">
        <f>INDEX(Direct_Cost_Splits_Network,MATCH($H8,RIN_Asset_Cat_Network,0),MATCH($AY$4,Direct_Cost_Type,0))*$K8*INDEX(Act_Type_Repex_Splits,MATCH($I8,Act_Type_Repex,0),MATCH(AI$4,Mat_Type,0))*INDEX(Escalators!$I$44:$U$49,MATCH(AI$4,Escalators!$C$44:$C$49,0),MATCH(AI$5,Escalators!$I$43:$U$43,0))</f>
        <v>0</v>
      </c>
      <c r="AJ8" s="47">
        <f>INDEX(Direct_Cost_Splits_Network,MATCH($H8,RIN_Asset_Cat_Network,0),MATCH($AY$4,Direct_Cost_Type,0))*$K8*INDEX(Act_Type_Repex_Splits,MATCH($I8,Act_Type_Repex,0),MATCH(AJ$4,Mat_Type,0))*INDEX(Escalators!$I$44:$U$49,MATCH(AJ$4,Escalators!$C$44:$C$49,0),MATCH(AJ$5,Escalators!$I$43:$U$43,0))</f>
        <v>0</v>
      </c>
      <c r="AK8" s="47">
        <f>INDEX(Direct_Cost_Splits_Network,MATCH($H8,RIN_Asset_Cat_Network,0),MATCH($AY$4,Direct_Cost_Type,0))*$K8*INDEX(Act_Type_Repex_Splits,MATCH($I8,Act_Type_Repex,0),MATCH(AK$4,Mat_Type,0))*INDEX(Escalators!$I$44:$U$49,MATCH(AK$4,Escalators!$C$44:$C$49,0),MATCH(AK$5,Escalators!$I$43:$U$43,0))</f>
        <v>0</v>
      </c>
      <c r="AL8" s="47">
        <f>INDEX(Direct_Cost_Splits_Network,MATCH($H8,RIN_Asset_Cat_Network,0),MATCH($AY$4,Direct_Cost_Type,0))*$K8*INDEX(Act_Type_Repex_Splits,MATCH($I8,Act_Type_Repex,0),MATCH(AL$4,Mat_Type,0))*INDEX(Escalators!$I$44:$U$49,MATCH(AL$4,Escalators!$C$44:$C$49,0),MATCH(AL$5,Escalators!$I$43:$U$43,0))</f>
        <v>0</v>
      </c>
      <c r="AM8" s="47">
        <f t="shared" si="9"/>
        <v>0</v>
      </c>
      <c r="AN8" s="47">
        <f>INDEX(Direct_Cost_Splits_Network,MATCH($H8,RIN_Asset_Cat_Network,0),MATCH($AY$4,Direct_Cost_Type,0))*$L8*INDEX(Act_Type_Repex_Splits,MATCH($I8,Act_Type_Repex,0),MATCH(AN$4,Mat_Type,0))*INDEX(Escalators!$I$44:$U$49,MATCH(AN$4,Escalators!$C$44:$C$49,0),MATCH(AN$5,Escalators!$I$43:$U$43,0))</f>
        <v>0</v>
      </c>
      <c r="AO8" s="47">
        <f>INDEX(Direct_Cost_Splits_Network,MATCH($H8,RIN_Asset_Cat_Network,0),MATCH($AY$4,Direct_Cost_Type,0))*$L8*INDEX(Act_Type_Repex_Splits,MATCH($I8,Act_Type_Repex,0),MATCH(AO$4,Mat_Type,0))*INDEX(Escalators!$I$44:$U$49,MATCH(AO$4,Escalators!$C$44:$C$49,0),MATCH(AO$5,Escalators!$I$43:$U$43,0))</f>
        <v>0</v>
      </c>
      <c r="AP8" s="47">
        <f>INDEX(Direct_Cost_Splits_Network,MATCH($H8,RIN_Asset_Cat_Network,0),MATCH($AY$4,Direct_Cost_Type,0))*$L8*INDEX(Act_Type_Repex_Splits,MATCH($I8,Act_Type_Repex,0),MATCH(AP$4,Mat_Type,0))*INDEX(Escalators!$I$44:$U$49,MATCH(AP$4,Escalators!$C$44:$C$49,0),MATCH(AP$5,Escalators!$I$43:$U$43,0))</f>
        <v>0</v>
      </c>
      <c r="AQ8" s="47">
        <f>INDEX(Direct_Cost_Splits_Network,MATCH($H8,RIN_Asset_Cat_Network,0),MATCH($AY$4,Direct_Cost_Type,0))*$L8*INDEX(Act_Type_Repex_Splits,MATCH($I8,Act_Type_Repex,0),MATCH(AQ$4,Mat_Type,0))*INDEX(Escalators!$I$44:$U$49,MATCH(AQ$4,Escalators!$C$44:$C$49,0),MATCH(AQ$5,Escalators!$I$43:$U$43,0))</f>
        <v>0</v>
      </c>
      <c r="AR8" s="47">
        <f>INDEX(Direct_Cost_Splits_Network,MATCH($H8,RIN_Asset_Cat_Network,0),MATCH($AY$4,Direct_Cost_Type,0))*$L8*INDEX(Act_Type_Repex_Splits,MATCH($I8,Act_Type_Repex,0),MATCH(AR$4,Mat_Type,0))*INDEX(Escalators!$I$44:$U$49,MATCH(AR$4,Escalators!$C$44:$C$49,0),MATCH(AR$5,Escalators!$I$43:$U$43,0))</f>
        <v>0</v>
      </c>
      <c r="AS8" s="47">
        <f t="shared" si="10"/>
        <v>0</v>
      </c>
      <c r="AT8" s="47">
        <f>INDEX(Direct_Cost_Splits_Network,MATCH($H8,RIN_Asset_Cat_Network,0),MATCH($AY$4,Direct_Cost_Type,0))*$M8*INDEX(Act_Type_Repex_Splits,MATCH($I8,Act_Type_Repex,0),MATCH(AT$4,Mat_Type,0))*INDEX(Escalators!$I$44:$U$49,MATCH(AT$4,Escalators!$C$44:$C$49,0),MATCH(AT$5,Escalators!$I$43:$U$43,0))</f>
        <v>1.4107628149209301</v>
      </c>
      <c r="AU8" s="47">
        <f>INDEX(Direct_Cost_Splits_Network,MATCH($H8,RIN_Asset_Cat_Network,0),MATCH($AY$4,Direct_Cost_Type,0))*$M8*INDEX(Act_Type_Repex_Splits,MATCH($I8,Act_Type_Repex,0),MATCH(AU$4,Mat_Type,0))*INDEX(Escalators!$I$44:$U$49,MATCH(AU$4,Escalators!$C$44:$C$49,0),MATCH(AU$5,Escalators!$I$43:$U$43,0))</f>
        <v>4.2322884447627898</v>
      </c>
      <c r="AV8" s="47">
        <f>INDEX(Direct_Cost_Splits_Network,MATCH($H8,RIN_Asset_Cat_Network,0),MATCH($AY$4,Direct_Cost_Type,0))*$M8*INDEX(Act_Type_Repex_Splits,MATCH($I8,Act_Type_Repex,0),MATCH(AV$4,Mat_Type,0))*INDEX(Escalators!$I$44:$U$49,MATCH(AV$4,Escalators!$C$44:$C$49,0),MATCH(AV$5,Escalators!$I$43:$U$43,0))</f>
        <v>11.286102519367441</v>
      </c>
      <c r="AW8" s="47">
        <f>INDEX(Direct_Cost_Splits_Network,MATCH($H8,RIN_Asset_Cat_Network,0),MATCH($AY$4,Direct_Cost_Type,0))*$M8*INDEX(Act_Type_Repex_Splits,MATCH($I8,Act_Type_Repex,0),MATCH(AW$4,Mat_Type,0))*INDEX(Escalators!$I$44:$U$49,MATCH(AW$4,Escalators!$C$44:$C$49,0),MATCH(AW$5,Escalators!$I$43:$U$43,0))</f>
        <v>0</v>
      </c>
      <c r="AX8" s="47">
        <f>INDEX(Direct_Cost_Splits_Network,MATCH($H8,RIN_Asset_Cat_Network,0),MATCH($AY$4,Direct_Cost_Type,0))*$M8*INDEX(Act_Type_Repex_Splits,MATCH($I8,Act_Type_Repex,0),MATCH(AX$4,Mat_Type,0))*INDEX(Escalators!$I$44:$U$49,MATCH(AX$4,Escalators!$C$44:$C$49,0),MATCH(AX$5,Escalators!$I$43:$U$43,0))</f>
        <v>11.286102519367441</v>
      </c>
      <c r="AY8" s="47">
        <f t="shared" si="11"/>
        <v>28.215256298418602</v>
      </c>
      <c r="AZ8" s="47">
        <f>INDEX(Direct_Cost_Splits_Network,MATCH($H8,RIN_Asset_Cat_Network,0),MATCH($BE$4,Direct_Cost_Type,0))*$N8*INDEX(Act_Type_Repex_Splits,MATCH($I8,Act_Type_Repex,0),MATCH(AZ$4,Mat_Type,0))*INDEX(Escalators!$I$44:$U$49,MATCH(AZ$4,Escalators!$C$44:$C$49,0),MATCH(AZ$5,Escalators!$I$43:$U$43,0))</f>
        <v>32.623890095046512</v>
      </c>
      <c r="BA8" s="47">
        <f>INDEX(Direct_Cost_Splits_Network,MATCH($H8,RIN_Asset_Cat_Network,0),MATCH($BE$4,Direct_Cost_Type,0))*$N8*INDEX(Act_Type_Repex_Splits,MATCH($I8,Act_Type_Repex,0),MATCH(BA$4,Mat_Type,0))*INDEX(Escalators!$I$44:$U$49,MATCH(BA$4,Escalators!$C$44:$C$49,0),MATCH(BA$5,Escalators!$I$43:$U$43,0))</f>
        <v>97.87167028513953</v>
      </c>
      <c r="BB8" s="47">
        <f>INDEX(Direct_Cost_Splits_Network,MATCH($H8,RIN_Asset_Cat_Network,0),MATCH($BE$4,Direct_Cost_Type,0))*$N8*INDEX(Act_Type_Repex_Splits,MATCH($I8,Act_Type_Repex,0),MATCH(BB$4,Mat_Type,0))*INDEX(Escalators!$I$44:$U$49,MATCH(BB$4,Escalators!$C$44:$C$49,0),MATCH(BB$5,Escalators!$I$43:$U$43,0))</f>
        <v>260.9911207603721</v>
      </c>
      <c r="BC8" s="47">
        <f>INDEX(Direct_Cost_Splits_Network,MATCH($H8,RIN_Asset_Cat_Network,0),MATCH($BE$4,Direct_Cost_Type,0))*$N8*INDEX(Act_Type_Repex_Splits,MATCH($I8,Act_Type_Repex,0),MATCH(BC$4,Mat_Type,0))*INDEX(Escalators!$I$44:$U$49,MATCH(BC$4,Escalators!$C$44:$C$49,0),MATCH(BC$5,Escalators!$I$43:$U$43,0))</f>
        <v>0</v>
      </c>
      <c r="BD8" s="47">
        <f>INDEX(Direct_Cost_Splits_Network,MATCH($H8,RIN_Asset_Cat_Network,0),MATCH($BE$4,Direct_Cost_Type,0))*$N8*INDEX(Act_Type_Repex_Splits,MATCH($I8,Act_Type_Repex,0),MATCH(BD$4,Mat_Type,0))*INDEX(Escalators!$I$44:$U$49,MATCH(BD$4,Escalators!$C$44:$C$49,0),MATCH(BD$5,Escalators!$I$43:$U$43,0))</f>
        <v>260.9911207603721</v>
      </c>
      <c r="BE8" s="47">
        <f t="shared" si="12"/>
        <v>652.47780190093022</v>
      </c>
      <c r="BF8" s="47">
        <f>INDEX(Direct_Cost_Splits_Network,MATCH($H8,RIN_Asset_Cat_Network,0),MATCH($BK$4,Direct_Cost_Type,0))*$O8*INDEX(Act_Type_Repex_Splits,MATCH($I8,Act_Type_Repex,0),MATCH(BF$4,Mat_Type,0))*INDEX(Escalators!$I$44:$U$49,MATCH(BF$4,Escalators!$C$44:$C$49,0),MATCH(BF$5,Escalators!$I$43:$U$43,0))</f>
        <v>65.953161597553489</v>
      </c>
      <c r="BG8" s="47">
        <f>INDEX(Direct_Cost_Splits_Network,MATCH($H8,RIN_Asset_Cat_Network,0),MATCH($BK$4,Direct_Cost_Type,0))*$O8*INDEX(Act_Type_Repex_Splits,MATCH($I8,Act_Type_Repex,0),MATCH(BG$4,Mat_Type,0))*INDEX(Escalators!$I$44:$U$49,MATCH(BG$4,Escalators!$C$44:$C$49,0),MATCH(BG$5,Escalators!$I$43:$U$43,0))</f>
        <v>197.85948479266042</v>
      </c>
      <c r="BH8" s="47">
        <f>INDEX(Direct_Cost_Splits_Network,MATCH($H8,RIN_Asset_Cat_Network,0),MATCH($BK$4,Direct_Cost_Type,0))*$O8*INDEX(Act_Type_Repex_Splits,MATCH($I8,Act_Type_Repex,0),MATCH(BH$4,Mat_Type,0))*INDEX(Escalators!$I$44:$U$49,MATCH(BH$4,Escalators!$C$44:$C$49,0),MATCH(BH$5,Escalators!$I$43:$U$43,0))</f>
        <v>527.62529278042791</v>
      </c>
      <c r="BI8" s="47">
        <f>INDEX(Direct_Cost_Splits_Network,MATCH($H8,RIN_Asset_Cat_Network,0),MATCH($BK$4,Direct_Cost_Type,0))*$O8*INDEX(Act_Type_Repex_Splits,MATCH($I8,Act_Type_Repex,0),MATCH(BI$4,Mat_Type,0))*INDEX(Escalators!$I$44:$U$49,MATCH(BI$4,Escalators!$C$44:$C$49,0),MATCH(BI$5,Escalators!$I$43:$U$43,0))</f>
        <v>0</v>
      </c>
      <c r="BJ8" s="47">
        <f>INDEX(Direct_Cost_Splits_Network,MATCH($H8,RIN_Asset_Cat_Network,0),MATCH($BK$4,Direct_Cost_Type,0))*$O8*INDEX(Act_Type_Repex_Splits,MATCH($I8,Act_Type_Repex,0),MATCH(BJ$4,Mat_Type,0))*INDEX(Escalators!$I$44:$U$49,MATCH(BJ$4,Escalators!$C$44:$C$49,0),MATCH(BJ$5,Escalators!$I$43:$U$43,0))</f>
        <v>527.62529278042791</v>
      </c>
      <c r="BK8" s="47">
        <f t="shared" si="13"/>
        <v>1319.0632319510696</v>
      </c>
      <c r="BL8" s="47">
        <f>INDEX(Direct_Cost_Splits_Network,MATCH($H8,RIN_Asset_Cat_Network,0),MATCH($BQ$4,Direct_Cost_Type,0))*$P8*INDEX(Act_Type_Repex_Splits,MATCH($I8,Act_Type_Repex,0),MATCH(BL$4,Mat_Type,0))*INDEX(Escalators!$I$44:$U$49,MATCH(BL$4,Escalators!$C$44:$C$49,0),MATCH(BL$5,Escalators!$I$43:$U$43,0))</f>
        <v>39.325013465920932</v>
      </c>
      <c r="BM8" s="47">
        <f>INDEX(Direct_Cost_Splits_Network,MATCH($H8,RIN_Asset_Cat_Network,0),MATCH($BQ$4,Direct_Cost_Type,0))*$P8*INDEX(Act_Type_Repex_Splits,MATCH($I8,Act_Type_Repex,0),MATCH(BM$4,Mat_Type,0))*INDEX(Escalators!$I$44:$U$49,MATCH(BM$4,Escalators!$C$44:$C$49,0),MATCH(BM$5,Escalators!$I$43:$U$43,0))</f>
        <v>117.97504039776277</v>
      </c>
      <c r="BN8" s="47">
        <f>INDEX(Direct_Cost_Splits_Network,MATCH($H8,RIN_Asset_Cat_Network,0),MATCH($BQ$4,Direct_Cost_Type,0))*$P8*INDEX(Act_Type_Repex_Splits,MATCH($I8,Act_Type_Repex,0),MATCH(BN$4,Mat_Type,0))*INDEX(Escalators!$I$44:$U$49,MATCH(BN$4,Escalators!$C$44:$C$49,0),MATCH(BN$5,Escalators!$I$43:$U$43,0))</f>
        <v>314.60010772736746</v>
      </c>
      <c r="BO8" s="47">
        <f>INDEX(Direct_Cost_Splits_Network,MATCH($H8,RIN_Asset_Cat_Network,0),MATCH($BQ$4,Direct_Cost_Type,0))*$P8*INDEX(Act_Type_Repex_Splits,MATCH($I8,Act_Type_Repex,0),MATCH(BO$4,Mat_Type,0))*INDEX(Escalators!$I$44:$U$49,MATCH(BO$4,Escalators!$C$44:$C$49,0),MATCH(BO$5,Escalators!$I$43:$U$43,0))</f>
        <v>0</v>
      </c>
      <c r="BP8" s="47">
        <f>INDEX(Direct_Cost_Splits_Network,MATCH($H8,RIN_Asset_Cat_Network,0),MATCH($BQ$4,Direct_Cost_Type,0))*$P8*INDEX(Act_Type_Repex_Splits,MATCH($I8,Act_Type_Repex,0),MATCH(BP$4,Mat_Type,0))*INDEX(Escalators!$I$44:$U$49,MATCH(BP$4,Escalators!$C$44:$C$49,0),MATCH(BP$5,Escalators!$I$43:$U$43,0))</f>
        <v>314.60010772736746</v>
      </c>
      <c r="BQ8" s="47">
        <f t="shared" si="14"/>
        <v>786.50026931841865</v>
      </c>
      <c r="BR8" s="47">
        <f>INDEX(Direct_Cost_Splits_Network,MATCH($H8,RIN_Asset_Cat_Network,0),MATCH($BW$4,Direct_Cost_Type,0))*$Q8*INDEX(Act_Type_Repex_Splits,MATCH($I8,Act_Type_Repex,0),MATCH(BR$4,Mat_Type,0))*INDEX(Escalators!$I$44:$U$49,MATCH(BR$4,Escalators!$C$44:$C$49,0),MATCH(BR$5,Escalators!$I$43:$U$43,0))</f>
        <v>1.7634535186511628</v>
      </c>
      <c r="BS8" s="47">
        <f>INDEX(Direct_Cost_Splits_Network,MATCH($H8,RIN_Asset_Cat_Network,0),MATCH($BW$4,Direct_Cost_Type,0))*$Q8*INDEX(Act_Type_Repex_Splits,MATCH($I8,Act_Type_Repex,0),MATCH(BS$4,Mat_Type,0))*INDEX(Escalators!$I$44:$U$49,MATCH(BS$4,Escalators!$C$44:$C$49,0),MATCH(BS$5,Escalators!$I$43:$U$43,0))</f>
        <v>5.2903605559534883</v>
      </c>
      <c r="BT8" s="47">
        <f>INDEX(Direct_Cost_Splits_Network,MATCH($H8,RIN_Asset_Cat_Network,0),MATCH($BW$4,Direct_Cost_Type,0))*$Q8*INDEX(Act_Type_Repex_Splits,MATCH($I8,Act_Type_Repex,0),MATCH(BT$4,Mat_Type,0))*INDEX(Escalators!$I$44:$U$49,MATCH(BT$4,Escalators!$C$44:$C$49,0),MATCH(BT$5,Escalators!$I$43:$U$43,0))</f>
        <v>14.107628149209303</v>
      </c>
      <c r="BU8" s="47">
        <f>INDEX(Direct_Cost_Splits_Network,MATCH($H8,RIN_Asset_Cat_Network,0),MATCH($BW$4,Direct_Cost_Type,0))*$Q8*INDEX(Act_Type_Repex_Splits,MATCH($I8,Act_Type_Repex,0),MATCH(BU$4,Mat_Type,0))*INDEX(Escalators!$I$44:$U$49,MATCH(BU$4,Escalators!$C$44:$C$49,0),MATCH(BU$5,Escalators!$I$43:$U$43,0))</f>
        <v>0</v>
      </c>
      <c r="BV8" s="47">
        <f>INDEX(Direct_Cost_Splits_Network,MATCH($H8,RIN_Asset_Cat_Network,0),MATCH($BW$4,Direct_Cost_Type,0))*$Q8*INDEX(Act_Type_Repex_Splits,MATCH($I8,Act_Type_Repex,0),MATCH(BV$4,Mat_Type,0))*INDEX(Escalators!$I$44:$U$49,MATCH(BV$4,Escalators!$C$44:$C$49,0),MATCH(BV$5,Escalators!$I$43:$U$43,0))</f>
        <v>14.107628149209303</v>
      </c>
      <c r="BW8" s="47">
        <f t="shared" si="15"/>
        <v>35.269070373023254</v>
      </c>
      <c r="BY8" s="47">
        <f>INDEX(Direct_Cost_Splits_Network,MATCH($H8,RIN_Asset_Cat_Network,0),MATCH($BY$4,Direct_Cost_Type,0))*J8*HLOOKUP(BY$5,Escalators!$I$25:$U$30,6,FALSE)</f>
        <v>0</v>
      </c>
      <c r="BZ8" s="47">
        <f>INDEX(Direct_Cost_Splits_Network,MATCH($H8,RIN_Asset_Cat_Network,0),MATCH($BY$4,Direct_Cost_Type,0))*K8*HLOOKUP(BZ$5,Escalators!$I$25:$U$30,6,FALSE)</f>
        <v>0</v>
      </c>
      <c r="CA8" s="47">
        <f>INDEX(Direct_Cost_Splits_Network,MATCH($H8,RIN_Asset_Cat_Network,0),MATCH($BY$4,Direct_Cost_Type,0))*L8*HLOOKUP(CA$5,Escalators!$I$25:$U$30,6,FALSE)</f>
        <v>0</v>
      </c>
      <c r="CB8" s="47">
        <f>INDEX(Direct_Cost_Splits_Network,MATCH($H8,RIN_Asset_Cat_Network,0),MATCH($BY$4,Direct_Cost_Type,0))*M8*HLOOKUP(CB$5,Escalators!$I$25:$U$30,6,FALSE)</f>
        <v>78.080385020319113</v>
      </c>
      <c r="CC8" s="47">
        <f>INDEX(Direct_Cost_Splits_Network,MATCH($H8,RIN_Asset_Cat_Network,0),MATCH($BY$4,Direct_Cost_Type,0))*N8*HLOOKUP(CC$5,Escalators!$I$25:$U$30,6,FALSE)</f>
        <v>1824.1347439092149</v>
      </c>
      <c r="CD8" s="47">
        <f>INDEX(Direct_Cost_Splits_Network,MATCH($H8,RIN_Asset_Cat_Network,0),MATCH($BY$4,Direct_Cost_Type,0))*O8*HLOOKUP(CD$5,Escalators!$I$25:$U$30,6,FALSE)</f>
        <v>3727.404327762466</v>
      </c>
      <c r="CE8" s="47">
        <f>INDEX(Direct_Cost_Splits_Network,MATCH($H8,RIN_Asset_Cat_Network,0),MATCH($BY$4,Direct_Cost_Type,0))*P8*HLOOKUP(CE$5,Escalators!$I$25:$U$30,6,FALSE)</f>
        <v>2243.5039629585517</v>
      </c>
      <c r="CF8" s="47">
        <f>INDEX(Direct_Cost_Splits_Network,MATCH($H8,RIN_Asset_Cat_Network,0),MATCH($BY$4,Direct_Cost_Type,0))*Q8*HLOOKUP(CF$5,Escalators!$I$25:$U$30,6,FALSE)</f>
        <v>101.49088779518328</v>
      </c>
      <c r="CH8" s="83">
        <f t="shared" si="16"/>
        <v>0</v>
      </c>
      <c r="CI8" s="83">
        <f t="shared" si="17"/>
        <v>0</v>
      </c>
      <c r="CJ8" s="83">
        <f t="shared" si="18"/>
        <v>0</v>
      </c>
      <c r="CK8" s="83">
        <f t="shared" si="19"/>
        <v>11.697144013561099</v>
      </c>
      <c r="CL8" s="83">
        <f t="shared" si="20"/>
        <v>270.49645531360045</v>
      </c>
      <c r="CM8" s="83">
        <f t="shared" si="21"/>
        <v>546.84148263398129</v>
      </c>
      <c r="CN8" s="83">
        <f t="shared" si="22"/>
        <v>326.0578893780156</v>
      </c>
      <c r="CO8" s="83">
        <f t="shared" si="23"/>
        <v>14.621430016951376</v>
      </c>
      <c r="CQ8" s="47">
        <f t="shared" si="24"/>
        <v>0</v>
      </c>
      <c r="CR8" s="47">
        <f t="shared" si="25"/>
        <v>0</v>
      </c>
      <c r="CS8" s="47">
        <f t="shared" si="26"/>
        <v>0</v>
      </c>
      <c r="CT8" s="47">
        <f t="shared" si="27"/>
        <v>131.22847517385762</v>
      </c>
      <c r="CU8" s="47">
        <f t="shared" si="28"/>
        <v>3056.324711232126</v>
      </c>
      <c r="CV8" s="47">
        <f t="shared" si="29"/>
        <v>6225.1548968922853</v>
      </c>
      <c r="CW8" s="47">
        <f t="shared" si="30"/>
        <v>3736.3666322474992</v>
      </c>
      <c r="CX8" s="47">
        <f t="shared" si="31"/>
        <v>168.58547743563895</v>
      </c>
      <c r="CZ8" s="47">
        <f t="shared" si="32"/>
        <v>12831</v>
      </c>
      <c r="DA8" s="47">
        <f t="shared" si="33"/>
        <v>13317.660192981408</v>
      </c>
      <c r="DB8" s="47">
        <f>DA8*Escalators!$M$17</f>
        <v>14087.125004131443</v>
      </c>
      <c r="DC8" s="47">
        <f>SUMPRODUCT(1+AusNet_Overheads!$K$20:$O$20,CT8:CX8)</f>
        <v>14774.154623103035</v>
      </c>
      <c r="DD8" s="373">
        <f>DC8*Escalators!$M$17</f>
        <v>15627.77244577121</v>
      </c>
      <c r="DE8" s="158"/>
      <c r="DF8" s="158"/>
      <c r="DG8" s="204"/>
      <c r="DH8" s="263"/>
    </row>
    <row r="9" spans="2:112" x14ac:dyDescent="0.3">
      <c r="B9" s="7">
        <v>74429461</v>
      </c>
      <c r="C9" s="7" t="s">
        <v>433</v>
      </c>
      <c r="D9" s="7" t="s">
        <v>107</v>
      </c>
      <c r="E9" s="7" t="s">
        <v>44</v>
      </c>
      <c r="F9" s="7" t="s">
        <v>131</v>
      </c>
      <c r="G9" s="7" t="s">
        <v>150</v>
      </c>
      <c r="H9" s="7" t="s">
        <v>176</v>
      </c>
      <c r="I9" s="7" t="s">
        <v>248</v>
      </c>
      <c r="J9" s="45"/>
      <c r="K9" s="45">
        <v>1070</v>
      </c>
      <c r="L9" s="45">
        <v>2260.8962500000002</v>
      </c>
      <c r="M9" s="45">
        <v>6454.7725000000009</v>
      </c>
      <c r="N9" s="45">
        <v>3848.7012499999996</v>
      </c>
      <c r="O9" s="45">
        <v>172.58750000000001</v>
      </c>
      <c r="P9" s="45">
        <v>0</v>
      </c>
      <c r="Q9" s="45">
        <v>0</v>
      </c>
      <c r="S9" s="47">
        <f>INDEX(Direct_Cost_Splits_Network,MATCH($H9,RIN_Asset_Cat_Network,0),MATCH($S$4,Direct_Cost_Type,0))*J9*HLOOKUP(S$5,Escalators!$I$25:$U$30,3,FALSE)</f>
        <v>0</v>
      </c>
      <c r="T9" s="47">
        <f>INDEX(Direct_Cost_Splits_Network,MATCH($H9,RIN_Asset_Cat_Network,0),MATCH($S$4,Direct_Cost_Type,0))*K9*HLOOKUP(T$5,Escalators!$I$25:$U$30,3,FALSE)</f>
        <v>108.84137933534002</v>
      </c>
      <c r="U9" s="47">
        <f>INDEX(Direct_Cost_Splits_Network,MATCH($H9,RIN_Asset_Cat_Network,0),MATCH($S$4,Direct_Cost_Type,0))*L9*HLOOKUP(U$5,Escalators!$I$25:$U$30,3,FALSE)</f>
        <v>231.0102322801649</v>
      </c>
      <c r="V9" s="47">
        <f>INDEX(Direct_Cost_Splits_Network,MATCH($H9,RIN_Asset_Cat_Network,0),MATCH($S$4,Direct_Cost_Type,0))*M9*HLOOKUP(V$5,Escalators!$I$25:$U$30,3,FALSE)</f>
        <v>665.83560757402586</v>
      </c>
      <c r="W9" s="47">
        <f>INDEX(Direct_Cost_Splits_Network,MATCH($H9,RIN_Asset_Cat_Network,0),MATCH($S$4,Direct_Cost_Type,0))*N9*HLOOKUP(W$5,Escalators!$I$25:$U$30,3,FALSE)</f>
        <v>401.08230784439201</v>
      </c>
      <c r="X9" s="47">
        <f>INDEX(Direct_Cost_Splits_Network,MATCH($H9,RIN_Asset_Cat_Network,0),MATCH($S$4,Direct_Cost_Type,0))*O9*HLOOKUP(X$5,Escalators!$I$25:$U$30,3,FALSE)</f>
        <v>18.179350298636734</v>
      </c>
      <c r="Y9" s="47">
        <f>INDEX(Direct_Cost_Splits_Network,MATCH($H9,RIN_Asset_Cat_Network,0),MATCH($S$4,Direct_Cost_Type,0))*P9*HLOOKUP(Y$5,Escalators!$I$25:$U$30,3,FALSE)</f>
        <v>0</v>
      </c>
      <c r="Z9" s="47">
        <f>INDEX(Direct_Cost_Splits_Network,MATCH($H9,RIN_Asset_Cat_Network,0),MATCH($S$4,Direct_Cost_Type,0))*Q9*HLOOKUP(Z$5,Escalators!$I$25:$U$30,3,FALSE)</f>
        <v>0</v>
      </c>
      <c r="AB9" s="6"/>
      <c r="AC9" s="6"/>
      <c r="AD9" s="6"/>
      <c r="AE9" s="6"/>
      <c r="AF9" s="6"/>
      <c r="AG9" s="47">
        <f t="shared" si="8"/>
        <v>0</v>
      </c>
      <c r="AH9" s="47">
        <f>INDEX(Direct_Cost_Splits_Network,MATCH($H9,RIN_Asset_Cat_Network,0),MATCH($AY$4,Direct_Cost_Type,0))*$K9*INDEX(Act_Type_Repex_Splits,MATCH($I9,Act_Type_Repex,0),MATCH(AH$4,Mat_Type,0))*INDEX(Escalators!$I$44:$U$49,MATCH(AH$4,Escalators!$C$44:$C$49,0),MATCH(AH$5,Escalators!$I$43:$U$43,0))</f>
        <v>11.764603008069484</v>
      </c>
      <c r="AI9" s="47">
        <f>INDEX(Direct_Cost_Splits_Network,MATCH($H9,RIN_Asset_Cat_Network,0),MATCH($AY$4,Direct_Cost_Type,0))*$K9*INDEX(Act_Type_Repex_Splits,MATCH($I9,Act_Type_Repex,0),MATCH(AI$4,Mat_Type,0))*INDEX(Escalators!$I$44:$U$49,MATCH(AI$4,Escalators!$C$44:$C$49,0),MATCH(AI$5,Escalators!$I$43:$U$43,0))</f>
        <v>35.29380902420845</v>
      </c>
      <c r="AJ9" s="47">
        <f>INDEX(Direct_Cost_Splits_Network,MATCH($H9,RIN_Asset_Cat_Network,0),MATCH($AY$4,Direct_Cost_Type,0))*$K9*INDEX(Act_Type_Repex_Splits,MATCH($I9,Act_Type_Repex,0),MATCH(AJ$4,Mat_Type,0))*INDEX(Escalators!$I$44:$U$49,MATCH(AJ$4,Escalators!$C$44:$C$49,0),MATCH(AJ$5,Escalators!$I$43:$U$43,0))</f>
        <v>94.116824064555871</v>
      </c>
      <c r="AK9" s="47">
        <f>INDEX(Direct_Cost_Splits_Network,MATCH($H9,RIN_Asset_Cat_Network,0),MATCH($AY$4,Direct_Cost_Type,0))*$K9*INDEX(Act_Type_Repex_Splits,MATCH($I9,Act_Type_Repex,0),MATCH(AK$4,Mat_Type,0))*INDEX(Escalators!$I$44:$U$49,MATCH(AK$4,Escalators!$C$44:$C$49,0),MATCH(AK$5,Escalators!$I$43:$U$43,0))</f>
        <v>0</v>
      </c>
      <c r="AL9" s="47">
        <f>INDEX(Direct_Cost_Splits_Network,MATCH($H9,RIN_Asset_Cat_Network,0),MATCH($AY$4,Direct_Cost_Type,0))*$K9*INDEX(Act_Type_Repex_Splits,MATCH($I9,Act_Type_Repex,0),MATCH(AL$4,Mat_Type,0))*INDEX(Escalators!$I$44:$U$49,MATCH(AL$4,Escalators!$C$44:$C$49,0),MATCH(AL$5,Escalators!$I$43:$U$43,0))</f>
        <v>94.116824064555871</v>
      </c>
      <c r="AM9" s="47">
        <f t="shared" si="9"/>
        <v>235.29206016138966</v>
      </c>
      <c r="AN9" s="47">
        <f>INDEX(Direct_Cost_Splits_Network,MATCH($H9,RIN_Asset_Cat_Network,0),MATCH($AY$4,Direct_Cost_Type,0))*$L9*INDEX(Act_Type_Repex_Splits,MATCH($I9,Act_Type_Repex,0),MATCH(AN$4,Mat_Type,0))*INDEX(Escalators!$I$44:$U$49,MATCH(AN$4,Escalators!$C$44:$C$49,0),MATCH(AN$5,Escalators!$I$43:$U$43,0))</f>
        <v>24.858454975404687</v>
      </c>
      <c r="AO9" s="47">
        <f>INDEX(Direct_Cost_Splits_Network,MATCH($H9,RIN_Asset_Cat_Network,0),MATCH($AY$4,Direct_Cost_Type,0))*$L9*INDEX(Act_Type_Repex_Splits,MATCH($I9,Act_Type_Repex,0),MATCH(AO$4,Mat_Type,0))*INDEX(Escalators!$I$44:$U$49,MATCH(AO$4,Escalators!$C$44:$C$49,0),MATCH(AO$5,Escalators!$I$43:$U$43,0))</f>
        <v>74.57536492621405</v>
      </c>
      <c r="AP9" s="47">
        <f>INDEX(Direct_Cost_Splits_Network,MATCH($H9,RIN_Asset_Cat_Network,0),MATCH($AY$4,Direct_Cost_Type,0))*$L9*INDEX(Act_Type_Repex_Splits,MATCH($I9,Act_Type_Repex,0),MATCH(AP$4,Mat_Type,0))*INDEX(Escalators!$I$44:$U$49,MATCH(AP$4,Escalators!$C$44:$C$49,0),MATCH(AP$5,Escalators!$I$43:$U$43,0))</f>
        <v>198.86763980323749</v>
      </c>
      <c r="AQ9" s="47">
        <f>INDEX(Direct_Cost_Splits_Network,MATCH($H9,RIN_Asset_Cat_Network,0),MATCH($AY$4,Direct_Cost_Type,0))*$L9*INDEX(Act_Type_Repex_Splits,MATCH($I9,Act_Type_Repex,0),MATCH(AQ$4,Mat_Type,0))*INDEX(Escalators!$I$44:$U$49,MATCH(AQ$4,Escalators!$C$44:$C$49,0),MATCH(AQ$5,Escalators!$I$43:$U$43,0))</f>
        <v>0</v>
      </c>
      <c r="AR9" s="47">
        <f>INDEX(Direct_Cost_Splits_Network,MATCH($H9,RIN_Asset_Cat_Network,0),MATCH($AY$4,Direct_Cost_Type,0))*$L9*INDEX(Act_Type_Repex_Splits,MATCH($I9,Act_Type_Repex,0),MATCH(AR$4,Mat_Type,0))*INDEX(Escalators!$I$44:$U$49,MATCH(AR$4,Escalators!$C$44:$C$49,0),MATCH(AR$5,Escalators!$I$43:$U$43,0))</f>
        <v>198.86763980323749</v>
      </c>
      <c r="AS9" s="47">
        <f t="shared" si="10"/>
        <v>497.16909950809372</v>
      </c>
      <c r="AT9" s="47">
        <f>INDEX(Direct_Cost_Splits_Network,MATCH($H9,RIN_Asset_Cat_Network,0),MATCH($AY$4,Direct_Cost_Type,0))*$M9*INDEX(Act_Type_Repex_Splits,MATCH($I9,Act_Type_Repex,0),MATCH(AT$4,Mat_Type,0))*INDEX(Escalators!$I$44:$U$49,MATCH(AT$4,Escalators!$C$44:$C$49,0),MATCH(AT$5,Escalators!$I$43:$U$43,0))</f>
        <v>70.969940158788958</v>
      </c>
      <c r="AU9" s="47">
        <f>INDEX(Direct_Cost_Splits_Network,MATCH($H9,RIN_Asset_Cat_Network,0),MATCH($AY$4,Direct_Cost_Type,0))*$M9*INDEX(Act_Type_Repex_Splits,MATCH($I9,Act_Type_Repex,0),MATCH(AU$4,Mat_Type,0))*INDEX(Escalators!$I$44:$U$49,MATCH(AU$4,Escalators!$C$44:$C$49,0),MATCH(AU$5,Escalators!$I$43:$U$43,0))</f>
        <v>212.90982047636689</v>
      </c>
      <c r="AV9" s="47">
        <f>INDEX(Direct_Cost_Splits_Network,MATCH($H9,RIN_Asset_Cat_Network,0),MATCH($AY$4,Direct_Cost_Type,0))*$M9*INDEX(Act_Type_Repex_Splits,MATCH($I9,Act_Type_Repex,0),MATCH(AV$4,Mat_Type,0))*INDEX(Escalators!$I$44:$U$49,MATCH(AV$4,Escalators!$C$44:$C$49,0),MATCH(AV$5,Escalators!$I$43:$U$43,0))</f>
        <v>567.75952127031167</v>
      </c>
      <c r="AW9" s="47">
        <f>INDEX(Direct_Cost_Splits_Network,MATCH($H9,RIN_Asset_Cat_Network,0),MATCH($AY$4,Direct_Cost_Type,0))*$M9*INDEX(Act_Type_Repex_Splits,MATCH($I9,Act_Type_Repex,0),MATCH(AW$4,Mat_Type,0))*INDEX(Escalators!$I$44:$U$49,MATCH(AW$4,Escalators!$C$44:$C$49,0),MATCH(AW$5,Escalators!$I$43:$U$43,0))</f>
        <v>0</v>
      </c>
      <c r="AX9" s="47">
        <f>INDEX(Direct_Cost_Splits_Network,MATCH($H9,RIN_Asset_Cat_Network,0),MATCH($AY$4,Direct_Cost_Type,0))*$M9*INDEX(Act_Type_Repex_Splits,MATCH($I9,Act_Type_Repex,0),MATCH(AX$4,Mat_Type,0))*INDEX(Escalators!$I$44:$U$49,MATCH(AX$4,Escalators!$C$44:$C$49,0),MATCH(AX$5,Escalators!$I$43:$U$43,0))</f>
        <v>567.75952127031167</v>
      </c>
      <c r="AY9" s="47">
        <f t="shared" si="11"/>
        <v>1419.398803175779</v>
      </c>
      <c r="AZ9" s="47">
        <f>INDEX(Direct_Cost_Splits_Network,MATCH($H9,RIN_Asset_Cat_Network,0),MATCH($BE$4,Direct_Cost_Type,0))*$N9*INDEX(Act_Type_Repex_Splits,MATCH($I9,Act_Type_Repex,0),MATCH(AZ$4,Mat_Type,0))*INDEX(Escalators!$I$44:$U$49,MATCH(AZ$4,Escalators!$C$44:$C$49,0),MATCH(AZ$5,Escalators!$I$43:$U$43,0))</f>
        <v>42.316301217673619</v>
      </c>
      <c r="BA9" s="47">
        <f>INDEX(Direct_Cost_Splits_Network,MATCH($H9,RIN_Asset_Cat_Network,0),MATCH($BE$4,Direct_Cost_Type,0))*$N9*INDEX(Act_Type_Repex_Splits,MATCH($I9,Act_Type_Repex,0),MATCH(BA$4,Mat_Type,0))*INDEX(Escalators!$I$44:$U$49,MATCH(BA$4,Escalators!$C$44:$C$49,0),MATCH(BA$5,Escalators!$I$43:$U$43,0))</f>
        <v>126.94890365302085</v>
      </c>
      <c r="BB9" s="47">
        <f>INDEX(Direct_Cost_Splits_Network,MATCH($H9,RIN_Asset_Cat_Network,0),MATCH($BE$4,Direct_Cost_Type,0))*$N9*INDEX(Act_Type_Repex_Splits,MATCH($I9,Act_Type_Repex,0),MATCH(BB$4,Mat_Type,0))*INDEX(Escalators!$I$44:$U$49,MATCH(BB$4,Escalators!$C$44:$C$49,0),MATCH(BB$5,Escalators!$I$43:$U$43,0))</f>
        <v>338.53040974138895</v>
      </c>
      <c r="BC9" s="47">
        <f>INDEX(Direct_Cost_Splits_Network,MATCH($H9,RIN_Asset_Cat_Network,0),MATCH($BE$4,Direct_Cost_Type,0))*$N9*INDEX(Act_Type_Repex_Splits,MATCH($I9,Act_Type_Repex,0),MATCH(BC$4,Mat_Type,0))*INDEX(Escalators!$I$44:$U$49,MATCH(BC$4,Escalators!$C$44:$C$49,0),MATCH(BC$5,Escalators!$I$43:$U$43,0))</f>
        <v>0</v>
      </c>
      <c r="BD9" s="47">
        <f>INDEX(Direct_Cost_Splits_Network,MATCH($H9,RIN_Asset_Cat_Network,0),MATCH($BE$4,Direct_Cost_Type,0))*$N9*INDEX(Act_Type_Repex_Splits,MATCH($I9,Act_Type_Repex,0),MATCH(BD$4,Mat_Type,0))*INDEX(Escalators!$I$44:$U$49,MATCH(BD$4,Escalators!$C$44:$C$49,0),MATCH(BD$5,Escalators!$I$43:$U$43,0))</f>
        <v>338.53040974138895</v>
      </c>
      <c r="BE9" s="47">
        <f t="shared" si="12"/>
        <v>846.32602435347235</v>
      </c>
      <c r="BF9" s="47">
        <f>INDEX(Direct_Cost_Splits_Network,MATCH($H9,RIN_Asset_Cat_Network,0),MATCH($BK$4,Direct_Cost_Type,0))*$O9*INDEX(Act_Type_Repex_Splits,MATCH($I9,Act_Type_Repex,0),MATCH(BF$4,Mat_Type,0))*INDEX(Escalators!$I$44:$U$49,MATCH(BF$4,Escalators!$C$44:$C$49,0),MATCH(BF$5,Escalators!$I$43:$U$43,0))</f>
        <v>1.8975919828553196</v>
      </c>
      <c r="BG9" s="47">
        <f>INDEX(Direct_Cost_Splits_Network,MATCH($H9,RIN_Asset_Cat_Network,0),MATCH($BK$4,Direct_Cost_Type,0))*$O9*INDEX(Act_Type_Repex_Splits,MATCH($I9,Act_Type_Repex,0),MATCH(BG$4,Mat_Type,0))*INDEX(Escalators!$I$44:$U$49,MATCH(BG$4,Escalators!$C$44:$C$49,0),MATCH(BG$5,Escalators!$I$43:$U$43,0))</f>
        <v>5.6927759485659584</v>
      </c>
      <c r="BH9" s="47">
        <f>INDEX(Direct_Cost_Splits_Network,MATCH($H9,RIN_Asset_Cat_Network,0),MATCH($BK$4,Direct_Cost_Type,0))*$O9*INDEX(Act_Type_Repex_Splits,MATCH($I9,Act_Type_Repex,0),MATCH(BH$4,Mat_Type,0))*INDEX(Escalators!$I$44:$U$49,MATCH(BH$4,Escalators!$C$44:$C$49,0),MATCH(BH$5,Escalators!$I$43:$U$43,0))</f>
        <v>15.180735862842557</v>
      </c>
      <c r="BI9" s="47">
        <f>INDEX(Direct_Cost_Splits_Network,MATCH($H9,RIN_Asset_Cat_Network,0),MATCH($BK$4,Direct_Cost_Type,0))*$O9*INDEX(Act_Type_Repex_Splits,MATCH($I9,Act_Type_Repex,0),MATCH(BI$4,Mat_Type,0))*INDEX(Escalators!$I$44:$U$49,MATCH(BI$4,Escalators!$C$44:$C$49,0),MATCH(BI$5,Escalators!$I$43:$U$43,0))</f>
        <v>0</v>
      </c>
      <c r="BJ9" s="47">
        <f>INDEX(Direct_Cost_Splits_Network,MATCH($H9,RIN_Asset_Cat_Network,0),MATCH($BK$4,Direct_Cost_Type,0))*$O9*INDEX(Act_Type_Repex_Splits,MATCH($I9,Act_Type_Repex,0),MATCH(BJ$4,Mat_Type,0))*INDEX(Escalators!$I$44:$U$49,MATCH(BJ$4,Escalators!$C$44:$C$49,0),MATCH(BJ$5,Escalators!$I$43:$U$43,0))</f>
        <v>15.180735862842557</v>
      </c>
      <c r="BK9" s="47">
        <f t="shared" si="13"/>
        <v>37.95183965710639</v>
      </c>
      <c r="BL9" s="47">
        <f>INDEX(Direct_Cost_Splits_Network,MATCH($H9,RIN_Asset_Cat_Network,0),MATCH($BQ$4,Direct_Cost_Type,0))*$P9*INDEX(Act_Type_Repex_Splits,MATCH($I9,Act_Type_Repex,0),MATCH(BL$4,Mat_Type,0))*INDEX(Escalators!$I$44:$U$49,MATCH(BL$4,Escalators!$C$44:$C$49,0),MATCH(BL$5,Escalators!$I$43:$U$43,0))</f>
        <v>0</v>
      </c>
      <c r="BM9" s="47">
        <f>INDEX(Direct_Cost_Splits_Network,MATCH($H9,RIN_Asset_Cat_Network,0),MATCH($BQ$4,Direct_Cost_Type,0))*$P9*INDEX(Act_Type_Repex_Splits,MATCH($I9,Act_Type_Repex,0),MATCH(BM$4,Mat_Type,0))*INDEX(Escalators!$I$44:$U$49,MATCH(BM$4,Escalators!$C$44:$C$49,0),MATCH(BM$5,Escalators!$I$43:$U$43,0))</f>
        <v>0</v>
      </c>
      <c r="BN9" s="47">
        <f>INDEX(Direct_Cost_Splits_Network,MATCH($H9,RIN_Asset_Cat_Network,0),MATCH($BQ$4,Direct_Cost_Type,0))*$P9*INDEX(Act_Type_Repex_Splits,MATCH($I9,Act_Type_Repex,0),MATCH(BN$4,Mat_Type,0))*INDEX(Escalators!$I$44:$U$49,MATCH(BN$4,Escalators!$C$44:$C$49,0),MATCH(BN$5,Escalators!$I$43:$U$43,0))</f>
        <v>0</v>
      </c>
      <c r="BO9" s="47">
        <f>INDEX(Direct_Cost_Splits_Network,MATCH($H9,RIN_Asset_Cat_Network,0),MATCH($BQ$4,Direct_Cost_Type,0))*$P9*INDEX(Act_Type_Repex_Splits,MATCH($I9,Act_Type_Repex,0),MATCH(BO$4,Mat_Type,0))*INDEX(Escalators!$I$44:$U$49,MATCH(BO$4,Escalators!$C$44:$C$49,0),MATCH(BO$5,Escalators!$I$43:$U$43,0))</f>
        <v>0</v>
      </c>
      <c r="BP9" s="47">
        <f>INDEX(Direct_Cost_Splits_Network,MATCH($H9,RIN_Asset_Cat_Network,0),MATCH($BQ$4,Direct_Cost_Type,0))*$P9*INDEX(Act_Type_Repex_Splits,MATCH($I9,Act_Type_Repex,0),MATCH(BP$4,Mat_Type,0))*INDEX(Escalators!$I$44:$U$49,MATCH(BP$4,Escalators!$C$44:$C$49,0),MATCH(BP$5,Escalators!$I$43:$U$43,0))</f>
        <v>0</v>
      </c>
      <c r="BQ9" s="47">
        <f t="shared" si="14"/>
        <v>0</v>
      </c>
      <c r="BR9" s="47">
        <f>INDEX(Direct_Cost_Splits_Network,MATCH($H9,RIN_Asset_Cat_Network,0),MATCH($BW$4,Direct_Cost_Type,0))*$Q9*INDEX(Act_Type_Repex_Splits,MATCH($I9,Act_Type_Repex,0),MATCH(BR$4,Mat_Type,0))*INDEX(Escalators!$I$44:$U$49,MATCH(BR$4,Escalators!$C$44:$C$49,0),MATCH(BR$5,Escalators!$I$43:$U$43,0))</f>
        <v>0</v>
      </c>
      <c r="BS9" s="47">
        <f>INDEX(Direct_Cost_Splits_Network,MATCH($H9,RIN_Asset_Cat_Network,0),MATCH($BW$4,Direct_Cost_Type,0))*$Q9*INDEX(Act_Type_Repex_Splits,MATCH($I9,Act_Type_Repex,0),MATCH(BS$4,Mat_Type,0))*INDEX(Escalators!$I$44:$U$49,MATCH(BS$4,Escalators!$C$44:$C$49,0),MATCH(BS$5,Escalators!$I$43:$U$43,0))</f>
        <v>0</v>
      </c>
      <c r="BT9" s="47">
        <f>INDEX(Direct_Cost_Splits_Network,MATCH($H9,RIN_Asset_Cat_Network,0),MATCH($BW$4,Direct_Cost_Type,0))*$Q9*INDEX(Act_Type_Repex_Splits,MATCH($I9,Act_Type_Repex,0),MATCH(BT$4,Mat_Type,0))*INDEX(Escalators!$I$44:$U$49,MATCH(BT$4,Escalators!$C$44:$C$49,0),MATCH(BT$5,Escalators!$I$43:$U$43,0))</f>
        <v>0</v>
      </c>
      <c r="BU9" s="47">
        <f>INDEX(Direct_Cost_Splits_Network,MATCH($H9,RIN_Asset_Cat_Network,0),MATCH($BW$4,Direct_Cost_Type,0))*$Q9*INDEX(Act_Type_Repex_Splits,MATCH($I9,Act_Type_Repex,0),MATCH(BU$4,Mat_Type,0))*INDEX(Escalators!$I$44:$U$49,MATCH(BU$4,Escalators!$C$44:$C$49,0),MATCH(BU$5,Escalators!$I$43:$U$43,0))</f>
        <v>0</v>
      </c>
      <c r="BV9" s="47">
        <f>INDEX(Direct_Cost_Splits_Network,MATCH($H9,RIN_Asset_Cat_Network,0),MATCH($BW$4,Direct_Cost_Type,0))*$Q9*INDEX(Act_Type_Repex_Splits,MATCH($I9,Act_Type_Repex,0),MATCH(BV$4,Mat_Type,0))*INDEX(Escalators!$I$44:$U$49,MATCH(BV$4,Escalators!$C$44:$C$49,0),MATCH(BV$5,Escalators!$I$43:$U$43,0))</f>
        <v>0</v>
      </c>
      <c r="BW9" s="47">
        <f t="shared" si="15"/>
        <v>0</v>
      </c>
      <c r="BY9" s="47">
        <f>INDEX(Direct_Cost_Splits_Network,MATCH($H9,RIN_Asset_Cat_Network,0),MATCH($BY$4,Direct_Cost_Type,0))*J9*HLOOKUP(BY$5,Escalators!$I$25:$U$30,6,FALSE)</f>
        <v>0</v>
      </c>
      <c r="BZ9" s="47">
        <f>INDEX(Direct_Cost_Splits_Network,MATCH($H9,RIN_Asset_Cat_Network,0),MATCH($BY$4,Direct_Cost_Type,0))*K9*HLOOKUP(BZ$5,Escalators!$I$25:$U$30,6,FALSE)</f>
        <v>642.08038314420514</v>
      </c>
      <c r="CA9" s="47">
        <f>INDEX(Direct_Cost_Splits_Network,MATCH($H9,RIN_Asset_Cat_Network,0),MATCH($BY$4,Direct_Cost_Type,0))*L9*HLOOKUP(CA$5,Escalators!$I$25:$U$30,6,FALSE)</f>
        <v>1362.7826049106247</v>
      </c>
      <c r="CB9" s="47">
        <f>INDEX(Direct_Cost_Splits_Network,MATCH($H9,RIN_Asset_Cat_Network,0),MATCH($BY$4,Direct_Cost_Type,0))*M9*HLOOKUP(CB$5,Escalators!$I$25:$U$30,6,FALSE)</f>
        <v>3927.9177150539144</v>
      </c>
      <c r="CC9" s="47">
        <f>INDEX(Direct_Cost_Splits_Network,MATCH($H9,RIN_Asset_Cat_Network,0),MATCH($BY$4,Direct_Cost_Type,0))*N9*HLOOKUP(CC$5,Escalators!$I$25:$U$30,6,FALSE)</f>
        <v>2366.0769779446564</v>
      </c>
      <c r="CD9" s="47">
        <f>INDEX(Direct_Cost_Splits_Network,MATCH($H9,RIN_Asset_Cat_Network,0),MATCH($BY$4,Direct_Cost_Type,0))*O9*HLOOKUP(CD$5,Escalators!$I$25:$U$30,6,FALSE)</f>
        <v>107.2441775025483</v>
      </c>
      <c r="CE9" s="47">
        <f>INDEX(Direct_Cost_Splits_Network,MATCH($H9,RIN_Asset_Cat_Network,0),MATCH($BY$4,Direct_Cost_Type,0))*P9*HLOOKUP(CE$5,Escalators!$I$25:$U$30,6,FALSE)</f>
        <v>0</v>
      </c>
      <c r="CF9" s="47">
        <f>INDEX(Direct_Cost_Splits_Network,MATCH($H9,RIN_Asset_Cat_Network,0),MATCH($BY$4,Direct_Cost_Type,0))*Q9*HLOOKUP(CF$5,Escalators!$I$25:$U$30,6,FALSE)</f>
        <v>0</v>
      </c>
      <c r="CH9" s="83">
        <f t="shared" si="16"/>
        <v>0</v>
      </c>
      <c r="CI9" s="83">
        <f t="shared" si="17"/>
        <v>97.544572476894828</v>
      </c>
      <c r="CJ9" s="83">
        <f t="shared" si="18"/>
        <v>206.11042815034091</v>
      </c>
      <c r="CK9" s="83">
        <f t="shared" si="19"/>
        <v>588.43740555898853</v>
      </c>
      <c r="CL9" s="83">
        <f t="shared" si="20"/>
        <v>350.8597364696642</v>
      </c>
      <c r="CM9" s="83">
        <f t="shared" si="21"/>
        <v>15.733620469491671</v>
      </c>
      <c r="CN9" s="83">
        <f t="shared" si="22"/>
        <v>0</v>
      </c>
      <c r="CO9" s="83">
        <f t="shared" si="23"/>
        <v>0</v>
      </c>
      <c r="CQ9" s="47">
        <f t="shared" si="24"/>
        <v>0</v>
      </c>
      <c r="CR9" s="47">
        <f t="shared" si="25"/>
        <v>1083.7583951178297</v>
      </c>
      <c r="CS9" s="47">
        <f t="shared" si="26"/>
        <v>2297.0723648492244</v>
      </c>
      <c r="CT9" s="47">
        <f t="shared" si="27"/>
        <v>6601.5895313627079</v>
      </c>
      <c r="CU9" s="47">
        <f t="shared" si="28"/>
        <v>3964.3450466121849</v>
      </c>
      <c r="CV9" s="47">
        <f t="shared" si="29"/>
        <v>179.10898792778309</v>
      </c>
      <c r="CW9" s="47">
        <f t="shared" si="30"/>
        <v>0</v>
      </c>
      <c r="CX9" s="47">
        <f t="shared" si="31"/>
        <v>0</v>
      </c>
      <c r="CZ9" s="47">
        <f t="shared" si="32"/>
        <v>10476.061250000001</v>
      </c>
      <c r="DA9" s="47">
        <f t="shared" si="33"/>
        <v>10745.043565902675</v>
      </c>
      <c r="DB9" s="47">
        <f>DA9*Escalators!$M$17</f>
        <v>11365.86830526594</v>
      </c>
      <c r="DC9" s="47">
        <f>SUMPRODUCT(1+AusNet_Overheads!$K$20:$O$20,CT9:CX9)</f>
        <v>11888.975636040121</v>
      </c>
      <c r="DD9" s="373">
        <f>DC9*Escalators!$M$17</f>
        <v>12575.894228344659</v>
      </c>
      <c r="DE9" s="158"/>
      <c r="DF9" s="158"/>
      <c r="DG9" s="204"/>
      <c r="DH9" s="263"/>
    </row>
    <row r="10" spans="2:112" x14ac:dyDescent="0.3">
      <c r="B10" s="7" t="s">
        <v>434</v>
      </c>
      <c r="C10" s="7" t="s">
        <v>435</v>
      </c>
      <c r="D10" s="7" t="s">
        <v>107</v>
      </c>
      <c r="E10" s="7" t="s">
        <v>44</v>
      </c>
      <c r="F10" s="7" t="s">
        <v>131</v>
      </c>
      <c r="G10" s="7" t="s">
        <v>150</v>
      </c>
      <c r="H10" s="7" t="s">
        <v>176</v>
      </c>
      <c r="I10" s="7" t="s">
        <v>248</v>
      </c>
      <c r="J10" s="45"/>
      <c r="K10" s="45">
        <v>0</v>
      </c>
      <c r="L10" s="45">
        <v>0</v>
      </c>
      <c r="M10" s="45">
        <v>0</v>
      </c>
      <c r="N10" s="45">
        <v>0</v>
      </c>
      <c r="O10" s="45">
        <v>0</v>
      </c>
      <c r="P10" s="45">
        <v>111.5</v>
      </c>
      <c r="Q10" s="45">
        <v>2578.4375</v>
      </c>
      <c r="S10" s="47">
        <f>INDEX(Direct_Cost_Splits_Network,MATCH($H10,RIN_Asset_Cat_Network,0),MATCH($S$4,Direct_Cost_Type,0))*J10*HLOOKUP(S$5,Escalators!$I$25:$U$30,3,FALSE)</f>
        <v>0</v>
      </c>
      <c r="T10" s="47">
        <f>INDEX(Direct_Cost_Splits_Network,MATCH($H10,RIN_Asset_Cat_Network,0),MATCH($S$4,Direct_Cost_Type,0))*K10*HLOOKUP(T$5,Escalators!$I$25:$U$30,3,FALSE)</f>
        <v>0</v>
      </c>
      <c r="U10" s="47">
        <f>INDEX(Direct_Cost_Splits_Network,MATCH($H10,RIN_Asset_Cat_Network,0),MATCH($S$4,Direct_Cost_Type,0))*L10*HLOOKUP(U$5,Escalators!$I$25:$U$30,3,FALSE)</f>
        <v>0</v>
      </c>
      <c r="V10" s="47">
        <f>INDEX(Direct_Cost_Splits_Network,MATCH($H10,RIN_Asset_Cat_Network,0),MATCH($S$4,Direct_Cost_Type,0))*M10*HLOOKUP(V$5,Escalators!$I$25:$U$30,3,FALSE)</f>
        <v>0</v>
      </c>
      <c r="W10" s="47">
        <f>INDEX(Direct_Cost_Splits_Network,MATCH($H10,RIN_Asset_Cat_Network,0),MATCH($S$4,Direct_Cost_Type,0))*N10*HLOOKUP(W$5,Escalators!$I$25:$U$30,3,FALSE)</f>
        <v>0</v>
      </c>
      <c r="X10" s="47">
        <f>INDEX(Direct_Cost_Splits_Network,MATCH($H10,RIN_Asset_Cat_Network,0),MATCH($S$4,Direct_Cost_Type,0))*O10*HLOOKUP(X$5,Escalators!$I$25:$U$30,3,FALSE)</f>
        <v>0</v>
      </c>
      <c r="Y10" s="47">
        <f>INDEX(Direct_Cost_Splits_Network,MATCH($H10,RIN_Asset_Cat_Network,0),MATCH($S$4,Direct_Cost_Type,0))*P10*HLOOKUP(Y$5,Escalators!$I$25:$U$30,3,FALSE)</f>
        <v>11.855802683890992</v>
      </c>
      <c r="Z10" s="47">
        <f>INDEX(Direct_Cost_Splits_Network,MATCH($H10,RIN_Asset_Cat_Network,0),MATCH($S$4,Direct_Cost_Type,0))*Q10*HLOOKUP(Z$5,Escalators!$I$25:$U$30,3,FALSE)</f>
        <v>276.57809291115097</v>
      </c>
      <c r="AB10" s="6"/>
      <c r="AC10" s="6"/>
      <c r="AD10" s="6"/>
      <c r="AE10" s="6"/>
      <c r="AF10" s="6"/>
      <c r="AG10" s="47">
        <f t="shared" si="8"/>
        <v>0</v>
      </c>
      <c r="AH10" s="47">
        <f>INDEX(Direct_Cost_Splits_Network,MATCH($H10,RIN_Asset_Cat_Network,0),MATCH($AY$4,Direct_Cost_Type,0))*$K10*INDEX(Act_Type_Repex_Splits,MATCH($I10,Act_Type_Repex,0),MATCH(AH$4,Mat_Type,0))*INDEX(Escalators!$I$44:$U$49,MATCH(AH$4,Escalators!$C$44:$C$49,0),MATCH(AH$5,Escalators!$I$43:$U$43,0))</f>
        <v>0</v>
      </c>
      <c r="AI10" s="47">
        <f>INDEX(Direct_Cost_Splits_Network,MATCH($H10,RIN_Asset_Cat_Network,0),MATCH($AY$4,Direct_Cost_Type,0))*$K10*INDEX(Act_Type_Repex_Splits,MATCH($I10,Act_Type_Repex,0),MATCH(AI$4,Mat_Type,0))*INDEX(Escalators!$I$44:$U$49,MATCH(AI$4,Escalators!$C$44:$C$49,0),MATCH(AI$5,Escalators!$I$43:$U$43,0))</f>
        <v>0</v>
      </c>
      <c r="AJ10" s="47">
        <f>INDEX(Direct_Cost_Splits_Network,MATCH($H10,RIN_Asset_Cat_Network,0),MATCH($AY$4,Direct_Cost_Type,0))*$K10*INDEX(Act_Type_Repex_Splits,MATCH($I10,Act_Type_Repex,0),MATCH(AJ$4,Mat_Type,0))*INDEX(Escalators!$I$44:$U$49,MATCH(AJ$4,Escalators!$C$44:$C$49,0),MATCH(AJ$5,Escalators!$I$43:$U$43,0))</f>
        <v>0</v>
      </c>
      <c r="AK10" s="47">
        <f>INDEX(Direct_Cost_Splits_Network,MATCH($H10,RIN_Asset_Cat_Network,0),MATCH($AY$4,Direct_Cost_Type,0))*$K10*INDEX(Act_Type_Repex_Splits,MATCH($I10,Act_Type_Repex,0),MATCH(AK$4,Mat_Type,0))*INDEX(Escalators!$I$44:$U$49,MATCH(AK$4,Escalators!$C$44:$C$49,0),MATCH(AK$5,Escalators!$I$43:$U$43,0))</f>
        <v>0</v>
      </c>
      <c r="AL10" s="47">
        <f>INDEX(Direct_Cost_Splits_Network,MATCH($H10,RIN_Asset_Cat_Network,0),MATCH($AY$4,Direct_Cost_Type,0))*$K10*INDEX(Act_Type_Repex_Splits,MATCH($I10,Act_Type_Repex,0),MATCH(AL$4,Mat_Type,0))*INDEX(Escalators!$I$44:$U$49,MATCH(AL$4,Escalators!$C$44:$C$49,0),MATCH(AL$5,Escalators!$I$43:$U$43,0))</f>
        <v>0</v>
      </c>
      <c r="AM10" s="47">
        <f t="shared" si="9"/>
        <v>0</v>
      </c>
      <c r="AN10" s="47">
        <f>INDEX(Direct_Cost_Splits_Network,MATCH($H10,RIN_Asset_Cat_Network,0),MATCH($AY$4,Direct_Cost_Type,0))*$L10*INDEX(Act_Type_Repex_Splits,MATCH($I10,Act_Type_Repex,0),MATCH(AN$4,Mat_Type,0))*INDEX(Escalators!$I$44:$U$49,MATCH(AN$4,Escalators!$C$44:$C$49,0),MATCH(AN$5,Escalators!$I$43:$U$43,0))</f>
        <v>0</v>
      </c>
      <c r="AO10" s="47">
        <f>INDEX(Direct_Cost_Splits_Network,MATCH($H10,RIN_Asset_Cat_Network,0),MATCH($AY$4,Direct_Cost_Type,0))*$L10*INDEX(Act_Type_Repex_Splits,MATCH($I10,Act_Type_Repex,0),MATCH(AO$4,Mat_Type,0))*INDEX(Escalators!$I$44:$U$49,MATCH(AO$4,Escalators!$C$44:$C$49,0),MATCH(AO$5,Escalators!$I$43:$U$43,0))</f>
        <v>0</v>
      </c>
      <c r="AP10" s="47">
        <f>INDEX(Direct_Cost_Splits_Network,MATCH($H10,RIN_Asset_Cat_Network,0),MATCH($AY$4,Direct_Cost_Type,0))*$L10*INDEX(Act_Type_Repex_Splits,MATCH($I10,Act_Type_Repex,0),MATCH(AP$4,Mat_Type,0))*INDEX(Escalators!$I$44:$U$49,MATCH(AP$4,Escalators!$C$44:$C$49,0),MATCH(AP$5,Escalators!$I$43:$U$43,0))</f>
        <v>0</v>
      </c>
      <c r="AQ10" s="47">
        <f>INDEX(Direct_Cost_Splits_Network,MATCH($H10,RIN_Asset_Cat_Network,0),MATCH($AY$4,Direct_Cost_Type,0))*$L10*INDEX(Act_Type_Repex_Splits,MATCH($I10,Act_Type_Repex,0),MATCH(AQ$4,Mat_Type,0))*INDEX(Escalators!$I$44:$U$49,MATCH(AQ$4,Escalators!$C$44:$C$49,0),MATCH(AQ$5,Escalators!$I$43:$U$43,0))</f>
        <v>0</v>
      </c>
      <c r="AR10" s="47">
        <f>INDEX(Direct_Cost_Splits_Network,MATCH($H10,RIN_Asset_Cat_Network,0),MATCH($AY$4,Direct_Cost_Type,0))*$L10*INDEX(Act_Type_Repex_Splits,MATCH($I10,Act_Type_Repex,0),MATCH(AR$4,Mat_Type,0))*INDEX(Escalators!$I$44:$U$49,MATCH(AR$4,Escalators!$C$44:$C$49,0),MATCH(AR$5,Escalators!$I$43:$U$43,0))</f>
        <v>0</v>
      </c>
      <c r="AS10" s="47">
        <f t="shared" si="10"/>
        <v>0</v>
      </c>
      <c r="AT10" s="47">
        <f>INDEX(Direct_Cost_Splits_Network,MATCH($H10,RIN_Asset_Cat_Network,0),MATCH($AY$4,Direct_Cost_Type,0))*$M10*INDEX(Act_Type_Repex_Splits,MATCH($I10,Act_Type_Repex,0),MATCH(AT$4,Mat_Type,0))*INDEX(Escalators!$I$44:$U$49,MATCH(AT$4,Escalators!$C$44:$C$49,0),MATCH(AT$5,Escalators!$I$43:$U$43,0))</f>
        <v>0</v>
      </c>
      <c r="AU10" s="47">
        <f>INDEX(Direct_Cost_Splits_Network,MATCH($H10,RIN_Asset_Cat_Network,0),MATCH($AY$4,Direct_Cost_Type,0))*$M10*INDEX(Act_Type_Repex_Splits,MATCH($I10,Act_Type_Repex,0),MATCH(AU$4,Mat_Type,0))*INDEX(Escalators!$I$44:$U$49,MATCH(AU$4,Escalators!$C$44:$C$49,0),MATCH(AU$5,Escalators!$I$43:$U$43,0))</f>
        <v>0</v>
      </c>
      <c r="AV10" s="47">
        <f>INDEX(Direct_Cost_Splits_Network,MATCH($H10,RIN_Asset_Cat_Network,0),MATCH($AY$4,Direct_Cost_Type,0))*$M10*INDEX(Act_Type_Repex_Splits,MATCH($I10,Act_Type_Repex,0),MATCH(AV$4,Mat_Type,0))*INDEX(Escalators!$I$44:$U$49,MATCH(AV$4,Escalators!$C$44:$C$49,0),MATCH(AV$5,Escalators!$I$43:$U$43,0))</f>
        <v>0</v>
      </c>
      <c r="AW10" s="47">
        <f>INDEX(Direct_Cost_Splits_Network,MATCH($H10,RIN_Asset_Cat_Network,0),MATCH($AY$4,Direct_Cost_Type,0))*$M10*INDEX(Act_Type_Repex_Splits,MATCH($I10,Act_Type_Repex,0),MATCH(AW$4,Mat_Type,0))*INDEX(Escalators!$I$44:$U$49,MATCH(AW$4,Escalators!$C$44:$C$49,0),MATCH(AW$5,Escalators!$I$43:$U$43,0))</f>
        <v>0</v>
      </c>
      <c r="AX10" s="47">
        <f>INDEX(Direct_Cost_Splits_Network,MATCH($H10,RIN_Asset_Cat_Network,0),MATCH($AY$4,Direct_Cost_Type,0))*$M10*INDEX(Act_Type_Repex_Splits,MATCH($I10,Act_Type_Repex,0),MATCH(AX$4,Mat_Type,0))*INDEX(Escalators!$I$44:$U$49,MATCH(AX$4,Escalators!$C$44:$C$49,0),MATCH(AX$5,Escalators!$I$43:$U$43,0))</f>
        <v>0</v>
      </c>
      <c r="AY10" s="47">
        <f t="shared" si="11"/>
        <v>0</v>
      </c>
      <c r="AZ10" s="47">
        <f>INDEX(Direct_Cost_Splits_Network,MATCH($H10,RIN_Asset_Cat_Network,0),MATCH($BE$4,Direct_Cost_Type,0))*$N10*INDEX(Act_Type_Repex_Splits,MATCH($I10,Act_Type_Repex,0),MATCH(AZ$4,Mat_Type,0))*INDEX(Escalators!$I$44:$U$49,MATCH(AZ$4,Escalators!$C$44:$C$49,0),MATCH(AZ$5,Escalators!$I$43:$U$43,0))</f>
        <v>0</v>
      </c>
      <c r="BA10" s="47">
        <f>INDEX(Direct_Cost_Splits_Network,MATCH($H10,RIN_Asset_Cat_Network,0),MATCH($BE$4,Direct_Cost_Type,0))*$N10*INDEX(Act_Type_Repex_Splits,MATCH($I10,Act_Type_Repex,0),MATCH(BA$4,Mat_Type,0))*INDEX(Escalators!$I$44:$U$49,MATCH(BA$4,Escalators!$C$44:$C$49,0),MATCH(BA$5,Escalators!$I$43:$U$43,0))</f>
        <v>0</v>
      </c>
      <c r="BB10" s="47">
        <f>INDEX(Direct_Cost_Splits_Network,MATCH($H10,RIN_Asset_Cat_Network,0),MATCH($BE$4,Direct_Cost_Type,0))*$N10*INDEX(Act_Type_Repex_Splits,MATCH($I10,Act_Type_Repex,0),MATCH(BB$4,Mat_Type,0))*INDEX(Escalators!$I$44:$U$49,MATCH(BB$4,Escalators!$C$44:$C$49,0),MATCH(BB$5,Escalators!$I$43:$U$43,0))</f>
        <v>0</v>
      </c>
      <c r="BC10" s="47">
        <f>INDEX(Direct_Cost_Splits_Network,MATCH($H10,RIN_Asset_Cat_Network,0),MATCH($BE$4,Direct_Cost_Type,0))*$N10*INDEX(Act_Type_Repex_Splits,MATCH($I10,Act_Type_Repex,0),MATCH(BC$4,Mat_Type,0))*INDEX(Escalators!$I$44:$U$49,MATCH(BC$4,Escalators!$C$44:$C$49,0),MATCH(BC$5,Escalators!$I$43:$U$43,0))</f>
        <v>0</v>
      </c>
      <c r="BD10" s="47">
        <f>INDEX(Direct_Cost_Splits_Network,MATCH($H10,RIN_Asset_Cat_Network,0),MATCH($BE$4,Direct_Cost_Type,0))*$N10*INDEX(Act_Type_Repex_Splits,MATCH($I10,Act_Type_Repex,0),MATCH(BD$4,Mat_Type,0))*INDEX(Escalators!$I$44:$U$49,MATCH(BD$4,Escalators!$C$44:$C$49,0),MATCH(BD$5,Escalators!$I$43:$U$43,0))</f>
        <v>0</v>
      </c>
      <c r="BE10" s="47">
        <f t="shared" si="12"/>
        <v>0</v>
      </c>
      <c r="BF10" s="47">
        <f>INDEX(Direct_Cost_Splits_Network,MATCH($H10,RIN_Asset_Cat_Network,0),MATCH($BK$4,Direct_Cost_Type,0))*$O10*INDEX(Act_Type_Repex_Splits,MATCH($I10,Act_Type_Repex,0),MATCH(BF$4,Mat_Type,0))*INDEX(Escalators!$I$44:$U$49,MATCH(BF$4,Escalators!$C$44:$C$49,0),MATCH(BF$5,Escalators!$I$43:$U$43,0))</f>
        <v>0</v>
      </c>
      <c r="BG10" s="47">
        <f>INDEX(Direct_Cost_Splits_Network,MATCH($H10,RIN_Asset_Cat_Network,0),MATCH($BK$4,Direct_Cost_Type,0))*$O10*INDEX(Act_Type_Repex_Splits,MATCH($I10,Act_Type_Repex,0),MATCH(BG$4,Mat_Type,0))*INDEX(Escalators!$I$44:$U$49,MATCH(BG$4,Escalators!$C$44:$C$49,0),MATCH(BG$5,Escalators!$I$43:$U$43,0))</f>
        <v>0</v>
      </c>
      <c r="BH10" s="47">
        <f>INDEX(Direct_Cost_Splits_Network,MATCH($H10,RIN_Asset_Cat_Network,0),MATCH($BK$4,Direct_Cost_Type,0))*$O10*INDEX(Act_Type_Repex_Splits,MATCH($I10,Act_Type_Repex,0),MATCH(BH$4,Mat_Type,0))*INDEX(Escalators!$I$44:$U$49,MATCH(BH$4,Escalators!$C$44:$C$49,0),MATCH(BH$5,Escalators!$I$43:$U$43,0))</f>
        <v>0</v>
      </c>
      <c r="BI10" s="47">
        <f>INDEX(Direct_Cost_Splits_Network,MATCH($H10,RIN_Asset_Cat_Network,0),MATCH($BK$4,Direct_Cost_Type,0))*$O10*INDEX(Act_Type_Repex_Splits,MATCH($I10,Act_Type_Repex,0),MATCH(BI$4,Mat_Type,0))*INDEX(Escalators!$I$44:$U$49,MATCH(BI$4,Escalators!$C$44:$C$49,0),MATCH(BI$5,Escalators!$I$43:$U$43,0))</f>
        <v>0</v>
      </c>
      <c r="BJ10" s="47">
        <f>INDEX(Direct_Cost_Splits_Network,MATCH($H10,RIN_Asset_Cat_Network,0),MATCH($BK$4,Direct_Cost_Type,0))*$O10*INDEX(Act_Type_Repex_Splits,MATCH($I10,Act_Type_Repex,0),MATCH(BJ$4,Mat_Type,0))*INDEX(Escalators!$I$44:$U$49,MATCH(BJ$4,Escalators!$C$44:$C$49,0),MATCH(BJ$5,Escalators!$I$43:$U$43,0))</f>
        <v>0</v>
      </c>
      <c r="BK10" s="47">
        <f t="shared" si="13"/>
        <v>0</v>
      </c>
      <c r="BL10" s="47">
        <f>INDEX(Direct_Cost_Splits_Network,MATCH($H10,RIN_Asset_Cat_Network,0),MATCH($BQ$4,Direct_Cost_Type,0))*$P10*INDEX(Act_Type_Repex_Splits,MATCH($I10,Act_Type_Repex,0),MATCH(BL$4,Mat_Type,0))*INDEX(Escalators!$I$44:$U$49,MATCH(BL$4,Escalators!$C$44:$C$49,0),MATCH(BL$5,Escalators!$I$43:$U$43,0))</f>
        <v>1.2259376031773339</v>
      </c>
      <c r="BM10" s="47">
        <f>INDEX(Direct_Cost_Splits_Network,MATCH($H10,RIN_Asset_Cat_Network,0),MATCH($BQ$4,Direct_Cost_Type,0))*$P10*INDEX(Act_Type_Repex_Splits,MATCH($I10,Act_Type_Repex,0),MATCH(BM$4,Mat_Type,0))*INDEX(Escalators!$I$44:$U$49,MATCH(BM$4,Escalators!$C$44:$C$49,0),MATCH(BM$5,Escalators!$I$43:$U$43,0))</f>
        <v>3.6778128095320017</v>
      </c>
      <c r="BN10" s="47">
        <f>INDEX(Direct_Cost_Splits_Network,MATCH($H10,RIN_Asset_Cat_Network,0),MATCH($BQ$4,Direct_Cost_Type,0))*$P10*INDEX(Act_Type_Repex_Splits,MATCH($I10,Act_Type_Repex,0),MATCH(BN$4,Mat_Type,0))*INDEX(Escalators!$I$44:$U$49,MATCH(BN$4,Escalators!$C$44:$C$49,0),MATCH(BN$5,Escalators!$I$43:$U$43,0))</f>
        <v>9.8075008254186713</v>
      </c>
      <c r="BO10" s="47">
        <f>INDEX(Direct_Cost_Splits_Network,MATCH($H10,RIN_Asset_Cat_Network,0),MATCH($BQ$4,Direct_Cost_Type,0))*$P10*INDEX(Act_Type_Repex_Splits,MATCH($I10,Act_Type_Repex,0),MATCH(BO$4,Mat_Type,0))*INDEX(Escalators!$I$44:$U$49,MATCH(BO$4,Escalators!$C$44:$C$49,0),MATCH(BO$5,Escalators!$I$43:$U$43,0))</f>
        <v>0</v>
      </c>
      <c r="BP10" s="47">
        <f>INDEX(Direct_Cost_Splits_Network,MATCH($H10,RIN_Asset_Cat_Network,0),MATCH($BQ$4,Direct_Cost_Type,0))*$P10*INDEX(Act_Type_Repex_Splits,MATCH($I10,Act_Type_Repex,0),MATCH(BP$4,Mat_Type,0))*INDEX(Escalators!$I$44:$U$49,MATCH(BP$4,Escalators!$C$44:$C$49,0),MATCH(BP$5,Escalators!$I$43:$U$43,0))</f>
        <v>9.8075008254186713</v>
      </c>
      <c r="BQ10" s="47">
        <f t="shared" si="14"/>
        <v>24.518752063546678</v>
      </c>
      <c r="BR10" s="47">
        <f>INDEX(Direct_Cost_Splits_Network,MATCH($H10,RIN_Asset_Cat_Network,0),MATCH($BW$4,Direct_Cost_Type,0))*$Q10*INDEX(Act_Type_Repex_Splits,MATCH($I10,Act_Type_Repex,0),MATCH(BR$4,Mat_Type,0))*INDEX(Escalators!$I$44:$U$49,MATCH(BR$4,Escalators!$C$44:$C$49,0),MATCH(BR$5,Escalators!$I$43:$U$43,0))</f>
        <v>28.349807073475848</v>
      </c>
      <c r="BS10" s="47">
        <f>INDEX(Direct_Cost_Splits_Network,MATCH($H10,RIN_Asset_Cat_Network,0),MATCH($BW$4,Direct_Cost_Type,0))*$Q10*INDEX(Act_Type_Repex_Splits,MATCH($I10,Act_Type_Repex,0),MATCH(BS$4,Mat_Type,0))*INDEX(Escalators!$I$44:$U$49,MATCH(BS$4,Escalators!$C$44:$C$49,0),MATCH(BS$5,Escalators!$I$43:$U$43,0))</f>
        <v>85.049421220427533</v>
      </c>
      <c r="BT10" s="47">
        <f>INDEX(Direct_Cost_Splits_Network,MATCH($H10,RIN_Asset_Cat_Network,0),MATCH($BW$4,Direct_Cost_Type,0))*$Q10*INDEX(Act_Type_Repex_Splits,MATCH($I10,Act_Type_Repex,0),MATCH(BT$4,Mat_Type,0))*INDEX(Escalators!$I$44:$U$49,MATCH(BT$4,Escalators!$C$44:$C$49,0),MATCH(BT$5,Escalators!$I$43:$U$43,0))</f>
        <v>226.79845658780678</v>
      </c>
      <c r="BU10" s="47">
        <f>INDEX(Direct_Cost_Splits_Network,MATCH($H10,RIN_Asset_Cat_Network,0),MATCH($BW$4,Direct_Cost_Type,0))*$Q10*INDEX(Act_Type_Repex_Splits,MATCH($I10,Act_Type_Repex,0),MATCH(BU$4,Mat_Type,0))*INDEX(Escalators!$I$44:$U$49,MATCH(BU$4,Escalators!$C$44:$C$49,0),MATCH(BU$5,Escalators!$I$43:$U$43,0))</f>
        <v>0</v>
      </c>
      <c r="BV10" s="47">
        <f>INDEX(Direct_Cost_Splits_Network,MATCH($H10,RIN_Asset_Cat_Network,0),MATCH($BW$4,Direct_Cost_Type,0))*$Q10*INDEX(Act_Type_Repex_Splits,MATCH($I10,Act_Type_Repex,0),MATCH(BV$4,Mat_Type,0))*INDEX(Escalators!$I$44:$U$49,MATCH(BV$4,Escalators!$C$44:$C$49,0),MATCH(BV$5,Escalators!$I$43:$U$43,0))</f>
        <v>226.79845658780678</v>
      </c>
      <c r="BW10" s="47">
        <f t="shared" si="15"/>
        <v>566.99614146951694</v>
      </c>
      <c r="BY10" s="47">
        <f>INDEX(Direct_Cost_Splits_Network,MATCH($H10,RIN_Asset_Cat_Network,0),MATCH($BY$4,Direct_Cost_Type,0))*J10*HLOOKUP(BY$5,Escalators!$I$25:$U$30,6,FALSE)</f>
        <v>0</v>
      </c>
      <c r="BZ10" s="47">
        <f>INDEX(Direct_Cost_Splits_Network,MATCH($H10,RIN_Asset_Cat_Network,0),MATCH($BY$4,Direct_Cost_Type,0))*K10*HLOOKUP(BZ$5,Escalators!$I$25:$U$30,6,FALSE)</f>
        <v>0</v>
      </c>
      <c r="CA10" s="47">
        <f>INDEX(Direct_Cost_Splits_Network,MATCH($H10,RIN_Asset_Cat_Network,0),MATCH($BY$4,Direct_Cost_Type,0))*L10*HLOOKUP(CA$5,Escalators!$I$25:$U$30,6,FALSE)</f>
        <v>0</v>
      </c>
      <c r="CB10" s="47">
        <f>INDEX(Direct_Cost_Splits_Network,MATCH($H10,RIN_Asset_Cat_Network,0),MATCH($BY$4,Direct_Cost_Type,0))*M10*HLOOKUP(CB$5,Escalators!$I$25:$U$30,6,FALSE)</f>
        <v>0</v>
      </c>
      <c r="CC10" s="47">
        <f>INDEX(Direct_Cost_Splits_Network,MATCH($H10,RIN_Asset_Cat_Network,0),MATCH($BY$4,Direct_Cost_Type,0))*N10*HLOOKUP(CC$5,Escalators!$I$25:$U$30,6,FALSE)</f>
        <v>0</v>
      </c>
      <c r="CD10" s="47">
        <f>INDEX(Direct_Cost_Splits_Network,MATCH($H10,RIN_Asset_Cat_Network,0),MATCH($BY$4,Direct_Cost_Type,0))*O10*HLOOKUP(CD$5,Escalators!$I$25:$U$30,6,FALSE)</f>
        <v>0</v>
      </c>
      <c r="CE10" s="47">
        <f>INDEX(Direct_Cost_Splits_Network,MATCH($H10,RIN_Asset_Cat_Network,0),MATCH($BY$4,Direct_Cost_Type,0))*P10*HLOOKUP(CE$5,Escalators!$I$25:$U$30,6,FALSE)</f>
        <v>69.940112632173694</v>
      </c>
      <c r="CF10" s="47">
        <f>INDEX(Direct_Cost_Splits_Network,MATCH($H10,RIN_Asset_Cat_Network,0),MATCH($BY$4,Direct_Cost_Type,0))*Q10*HLOOKUP(CF$5,Escalators!$I$25:$U$30,6,FALSE)</f>
        <v>1631.5979175396642</v>
      </c>
      <c r="CH10" s="83">
        <f t="shared" si="16"/>
        <v>0</v>
      </c>
      <c r="CI10" s="83">
        <f t="shared" si="17"/>
        <v>0</v>
      </c>
      <c r="CJ10" s="83">
        <f t="shared" si="18"/>
        <v>0</v>
      </c>
      <c r="CK10" s="83">
        <f t="shared" si="19"/>
        <v>0</v>
      </c>
      <c r="CL10" s="83">
        <f t="shared" si="20"/>
        <v>0</v>
      </c>
      <c r="CM10" s="83">
        <f t="shared" si="21"/>
        <v>0</v>
      </c>
      <c r="CN10" s="83">
        <f t="shared" si="22"/>
        <v>10.164691431003527</v>
      </c>
      <c r="CO10" s="83">
        <f t="shared" si="23"/>
        <v>235.05848934195657</v>
      </c>
      <c r="CQ10" s="47">
        <f t="shared" si="24"/>
        <v>0</v>
      </c>
      <c r="CR10" s="47">
        <f t="shared" si="25"/>
        <v>0</v>
      </c>
      <c r="CS10" s="47">
        <f t="shared" si="26"/>
        <v>0</v>
      </c>
      <c r="CT10" s="47">
        <f t="shared" si="27"/>
        <v>0</v>
      </c>
      <c r="CU10" s="47">
        <f t="shared" si="28"/>
        <v>0</v>
      </c>
      <c r="CV10" s="47">
        <f t="shared" si="29"/>
        <v>0</v>
      </c>
      <c r="CW10" s="47">
        <f t="shared" si="30"/>
        <v>116.4793588106149</v>
      </c>
      <c r="CX10" s="47">
        <f t="shared" si="31"/>
        <v>2710.2306412622884</v>
      </c>
      <c r="CZ10" s="47">
        <f t="shared" si="32"/>
        <v>2689.9375</v>
      </c>
      <c r="DA10" s="47">
        <f t="shared" si="33"/>
        <v>2826.7100000729033</v>
      </c>
      <c r="DB10" s="47">
        <f>DA10*Escalators!$M$17</f>
        <v>2990.0310222993376</v>
      </c>
      <c r="DC10" s="47">
        <f>SUMPRODUCT(1+AusNet_Overheads!$K$20:$O$20,CT10:CX10)</f>
        <v>3155.0739999554194</v>
      </c>
      <c r="DD10" s="373">
        <f>DC10*Escalators!$M$17</f>
        <v>3337.367164397288</v>
      </c>
      <c r="DE10" s="158"/>
      <c r="DF10" s="158"/>
      <c r="DG10" s="204"/>
      <c r="DH10" s="263"/>
    </row>
    <row r="11" spans="2:112" x14ac:dyDescent="0.3">
      <c r="B11" s="7" t="s">
        <v>434</v>
      </c>
      <c r="C11" s="7" t="s">
        <v>436</v>
      </c>
      <c r="D11" s="7" t="s">
        <v>107</v>
      </c>
      <c r="E11" s="7" t="s">
        <v>44</v>
      </c>
      <c r="F11" s="7" t="s">
        <v>131</v>
      </c>
      <c r="G11" s="7" t="s">
        <v>150</v>
      </c>
      <c r="H11" s="7" t="s">
        <v>176</v>
      </c>
      <c r="I11" s="7" t="s">
        <v>248</v>
      </c>
      <c r="J11" s="45"/>
      <c r="K11" s="45">
        <v>0</v>
      </c>
      <c r="L11" s="45">
        <v>0</v>
      </c>
      <c r="M11" s="45">
        <v>82.06</v>
      </c>
      <c r="N11" s="45">
        <v>1897.6375</v>
      </c>
      <c r="O11" s="45">
        <v>3836.3050000000003</v>
      </c>
      <c r="P11" s="45">
        <v>2287.4225000000001</v>
      </c>
      <c r="Q11" s="45">
        <v>102.575</v>
      </c>
      <c r="S11" s="47">
        <f>INDEX(Direct_Cost_Splits_Network,MATCH($H11,RIN_Asset_Cat_Network,0),MATCH($S$4,Direct_Cost_Type,0))*J11*HLOOKUP(S$5,Escalators!$I$25:$U$30,3,FALSE)</f>
        <v>0</v>
      </c>
      <c r="T11" s="47">
        <f>INDEX(Direct_Cost_Splits_Network,MATCH($H11,RIN_Asset_Cat_Network,0),MATCH($S$4,Direct_Cost_Type,0))*K11*HLOOKUP(T$5,Escalators!$I$25:$U$30,3,FALSE)</f>
        <v>0</v>
      </c>
      <c r="U11" s="47">
        <f>INDEX(Direct_Cost_Splits_Network,MATCH($H11,RIN_Asset_Cat_Network,0),MATCH($S$4,Direct_Cost_Type,0))*L11*HLOOKUP(U$5,Escalators!$I$25:$U$30,3,FALSE)</f>
        <v>0</v>
      </c>
      <c r="V11" s="47">
        <f>INDEX(Direct_Cost_Splits_Network,MATCH($H11,RIN_Asset_Cat_Network,0),MATCH($S$4,Direct_Cost_Type,0))*M11*HLOOKUP(V$5,Escalators!$I$25:$U$30,3,FALSE)</f>
        <v>8.4648173049514224</v>
      </c>
      <c r="W11" s="47">
        <f>INDEX(Direct_Cost_Splits_Network,MATCH($H11,RIN_Asset_Cat_Network,0),MATCH($S$4,Direct_Cost_Type,0))*N11*HLOOKUP(W$5,Escalators!$I$25:$U$30,3,FALSE)</f>
        <v>197.75731565344611</v>
      </c>
      <c r="X11" s="47">
        <f>INDEX(Direct_Cost_Splits_Network,MATCH($H11,RIN_Asset_Cat_Network,0),MATCH($S$4,Direct_Cost_Type,0))*O11*HLOOKUP(X$5,Escalators!$I$25:$U$30,3,FALSE)</f>
        <v>404.09376372803126</v>
      </c>
      <c r="Y11" s="47">
        <f>INDEX(Direct_Cost_Splits_Network,MATCH($H11,RIN_Asset_Cat_Network,0),MATCH($S$4,Direct_Cost_Type,0))*P11*HLOOKUP(Y$5,Escalators!$I$25:$U$30,3,FALSE)</f>
        <v>243.22179206002372</v>
      </c>
      <c r="Z11" s="47">
        <f>INDEX(Direct_Cost_Splits_Network,MATCH($H11,RIN_Asset_Cat_Network,0),MATCH($S$4,Direct_Cost_Type,0))*Q11*HLOOKUP(Z$5,Escalators!$I$25:$U$30,3,FALSE)</f>
        <v>11.002786718840891</v>
      </c>
      <c r="AB11" s="6"/>
      <c r="AC11" s="6"/>
      <c r="AD11" s="6"/>
      <c r="AE11" s="6"/>
      <c r="AF11" s="6"/>
      <c r="AG11" s="47">
        <f t="shared" si="8"/>
        <v>0</v>
      </c>
      <c r="AH11" s="47">
        <f>INDEX(Direct_Cost_Splits_Network,MATCH($H11,RIN_Asset_Cat_Network,0),MATCH($AY$4,Direct_Cost_Type,0))*$K11*INDEX(Act_Type_Repex_Splits,MATCH($I11,Act_Type_Repex,0),MATCH(AH$4,Mat_Type,0))*INDEX(Escalators!$I$44:$U$49,MATCH(AH$4,Escalators!$C$44:$C$49,0),MATCH(AH$5,Escalators!$I$43:$U$43,0))</f>
        <v>0</v>
      </c>
      <c r="AI11" s="47">
        <f>INDEX(Direct_Cost_Splits_Network,MATCH($H11,RIN_Asset_Cat_Network,0),MATCH($AY$4,Direct_Cost_Type,0))*$K11*INDEX(Act_Type_Repex_Splits,MATCH($I11,Act_Type_Repex,0),MATCH(AI$4,Mat_Type,0))*INDEX(Escalators!$I$44:$U$49,MATCH(AI$4,Escalators!$C$44:$C$49,0),MATCH(AI$5,Escalators!$I$43:$U$43,0))</f>
        <v>0</v>
      </c>
      <c r="AJ11" s="47">
        <f>INDEX(Direct_Cost_Splits_Network,MATCH($H11,RIN_Asset_Cat_Network,0),MATCH($AY$4,Direct_Cost_Type,0))*$K11*INDEX(Act_Type_Repex_Splits,MATCH($I11,Act_Type_Repex,0),MATCH(AJ$4,Mat_Type,0))*INDEX(Escalators!$I$44:$U$49,MATCH(AJ$4,Escalators!$C$44:$C$49,0),MATCH(AJ$5,Escalators!$I$43:$U$43,0))</f>
        <v>0</v>
      </c>
      <c r="AK11" s="47">
        <f>INDEX(Direct_Cost_Splits_Network,MATCH($H11,RIN_Asset_Cat_Network,0),MATCH($AY$4,Direct_Cost_Type,0))*$K11*INDEX(Act_Type_Repex_Splits,MATCH($I11,Act_Type_Repex,0),MATCH(AK$4,Mat_Type,0))*INDEX(Escalators!$I$44:$U$49,MATCH(AK$4,Escalators!$C$44:$C$49,0),MATCH(AK$5,Escalators!$I$43:$U$43,0))</f>
        <v>0</v>
      </c>
      <c r="AL11" s="47">
        <f>INDEX(Direct_Cost_Splits_Network,MATCH($H11,RIN_Asset_Cat_Network,0),MATCH($AY$4,Direct_Cost_Type,0))*$K11*INDEX(Act_Type_Repex_Splits,MATCH($I11,Act_Type_Repex,0),MATCH(AL$4,Mat_Type,0))*INDEX(Escalators!$I$44:$U$49,MATCH(AL$4,Escalators!$C$44:$C$49,0),MATCH(AL$5,Escalators!$I$43:$U$43,0))</f>
        <v>0</v>
      </c>
      <c r="AM11" s="47">
        <f t="shared" si="9"/>
        <v>0</v>
      </c>
      <c r="AN11" s="47">
        <f>INDEX(Direct_Cost_Splits_Network,MATCH($H11,RIN_Asset_Cat_Network,0),MATCH($AY$4,Direct_Cost_Type,0))*$L11*INDEX(Act_Type_Repex_Splits,MATCH($I11,Act_Type_Repex,0),MATCH(AN$4,Mat_Type,0))*INDEX(Escalators!$I$44:$U$49,MATCH(AN$4,Escalators!$C$44:$C$49,0),MATCH(AN$5,Escalators!$I$43:$U$43,0))</f>
        <v>0</v>
      </c>
      <c r="AO11" s="47">
        <f>INDEX(Direct_Cost_Splits_Network,MATCH($H11,RIN_Asset_Cat_Network,0),MATCH($AY$4,Direct_Cost_Type,0))*$L11*INDEX(Act_Type_Repex_Splits,MATCH($I11,Act_Type_Repex,0),MATCH(AO$4,Mat_Type,0))*INDEX(Escalators!$I$44:$U$49,MATCH(AO$4,Escalators!$C$44:$C$49,0),MATCH(AO$5,Escalators!$I$43:$U$43,0))</f>
        <v>0</v>
      </c>
      <c r="AP11" s="47">
        <f>INDEX(Direct_Cost_Splits_Network,MATCH($H11,RIN_Asset_Cat_Network,0),MATCH($AY$4,Direct_Cost_Type,0))*$L11*INDEX(Act_Type_Repex_Splits,MATCH($I11,Act_Type_Repex,0),MATCH(AP$4,Mat_Type,0))*INDEX(Escalators!$I$44:$U$49,MATCH(AP$4,Escalators!$C$44:$C$49,0),MATCH(AP$5,Escalators!$I$43:$U$43,0))</f>
        <v>0</v>
      </c>
      <c r="AQ11" s="47">
        <f>INDEX(Direct_Cost_Splits_Network,MATCH($H11,RIN_Asset_Cat_Network,0),MATCH($AY$4,Direct_Cost_Type,0))*$L11*INDEX(Act_Type_Repex_Splits,MATCH($I11,Act_Type_Repex,0),MATCH(AQ$4,Mat_Type,0))*INDEX(Escalators!$I$44:$U$49,MATCH(AQ$4,Escalators!$C$44:$C$49,0),MATCH(AQ$5,Escalators!$I$43:$U$43,0))</f>
        <v>0</v>
      </c>
      <c r="AR11" s="47">
        <f>INDEX(Direct_Cost_Splits_Network,MATCH($H11,RIN_Asset_Cat_Network,0),MATCH($AY$4,Direct_Cost_Type,0))*$L11*INDEX(Act_Type_Repex_Splits,MATCH($I11,Act_Type_Repex,0),MATCH(AR$4,Mat_Type,0))*INDEX(Escalators!$I$44:$U$49,MATCH(AR$4,Escalators!$C$44:$C$49,0),MATCH(AR$5,Escalators!$I$43:$U$43,0))</f>
        <v>0</v>
      </c>
      <c r="AS11" s="47">
        <f t="shared" si="10"/>
        <v>0</v>
      </c>
      <c r="AT11" s="47">
        <f>INDEX(Direct_Cost_Splits_Network,MATCH($H11,RIN_Asset_Cat_Network,0),MATCH($AY$4,Direct_Cost_Type,0))*$M11*INDEX(Act_Type_Repex_Splits,MATCH($I11,Act_Type_Repex,0),MATCH(AT$4,Mat_Type,0))*INDEX(Escalators!$I$44:$U$49,MATCH(AT$4,Escalators!$C$44:$C$49,0),MATCH(AT$5,Escalators!$I$43:$U$43,0))</f>
        <v>0.90224609611418849</v>
      </c>
      <c r="AU11" s="47">
        <f>INDEX(Direct_Cost_Splits_Network,MATCH($H11,RIN_Asset_Cat_Network,0),MATCH($AY$4,Direct_Cost_Type,0))*$M11*INDEX(Act_Type_Repex_Splits,MATCH($I11,Act_Type_Repex,0),MATCH(AU$4,Mat_Type,0))*INDEX(Escalators!$I$44:$U$49,MATCH(AU$4,Escalators!$C$44:$C$49,0),MATCH(AU$5,Escalators!$I$43:$U$43,0))</f>
        <v>2.7067382883425655</v>
      </c>
      <c r="AV11" s="47">
        <f>INDEX(Direct_Cost_Splits_Network,MATCH($H11,RIN_Asset_Cat_Network,0),MATCH($AY$4,Direct_Cost_Type,0))*$M11*INDEX(Act_Type_Repex_Splits,MATCH($I11,Act_Type_Repex,0),MATCH(AV$4,Mat_Type,0))*INDEX(Escalators!$I$44:$U$49,MATCH(AV$4,Escalators!$C$44:$C$49,0),MATCH(AV$5,Escalators!$I$43:$U$43,0))</f>
        <v>7.2179687689135079</v>
      </c>
      <c r="AW11" s="47">
        <f>INDEX(Direct_Cost_Splits_Network,MATCH($H11,RIN_Asset_Cat_Network,0),MATCH($AY$4,Direct_Cost_Type,0))*$M11*INDEX(Act_Type_Repex_Splits,MATCH($I11,Act_Type_Repex,0),MATCH(AW$4,Mat_Type,0))*INDEX(Escalators!$I$44:$U$49,MATCH(AW$4,Escalators!$C$44:$C$49,0),MATCH(AW$5,Escalators!$I$43:$U$43,0))</f>
        <v>0</v>
      </c>
      <c r="AX11" s="47">
        <f>INDEX(Direct_Cost_Splits_Network,MATCH($H11,RIN_Asset_Cat_Network,0),MATCH($AY$4,Direct_Cost_Type,0))*$M11*INDEX(Act_Type_Repex_Splits,MATCH($I11,Act_Type_Repex,0),MATCH(AX$4,Mat_Type,0))*INDEX(Escalators!$I$44:$U$49,MATCH(AX$4,Escalators!$C$44:$C$49,0),MATCH(AX$5,Escalators!$I$43:$U$43,0))</f>
        <v>7.2179687689135079</v>
      </c>
      <c r="AY11" s="47">
        <f t="shared" si="11"/>
        <v>18.04492192228377</v>
      </c>
      <c r="AZ11" s="47">
        <f>INDEX(Direct_Cost_Splits_Network,MATCH($H11,RIN_Asset_Cat_Network,0),MATCH($BE$4,Direct_Cost_Type,0))*$N11*INDEX(Act_Type_Repex_Splits,MATCH($I11,Act_Type_Repex,0),MATCH(AZ$4,Mat_Type,0))*INDEX(Escalators!$I$44:$U$49,MATCH(AZ$4,Escalators!$C$44:$C$49,0),MATCH(AZ$5,Escalators!$I$43:$U$43,0))</f>
        <v>20.864440972640612</v>
      </c>
      <c r="BA11" s="47">
        <f>INDEX(Direct_Cost_Splits_Network,MATCH($H11,RIN_Asset_Cat_Network,0),MATCH($BE$4,Direct_Cost_Type,0))*$N11*INDEX(Act_Type_Repex_Splits,MATCH($I11,Act_Type_Repex,0),MATCH(BA$4,Mat_Type,0))*INDEX(Escalators!$I$44:$U$49,MATCH(BA$4,Escalators!$C$44:$C$49,0),MATCH(BA$5,Escalators!$I$43:$U$43,0))</f>
        <v>62.593322917921832</v>
      </c>
      <c r="BB11" s="47">
        <f>INDEX(Direct_Cost_Splits_Network,MATCH($H11,RIN_Asset_Cat_Network,0),MATCH($BE$4,Direct_Cost_Type,0))*$N11*INDEX(Act_Type_Repex_Splits,MATCH($I11,Act_Type_Repex,0),MATCH(BB$4,Mat_Type,0))*INDEX(Escalators!$I$44:$U$49,MATCH(BB$4,Escalators!$C$44:$C$49,0),MATCH(BB$5,Escalators!$I$43:$U$43,0))</f>
        <v>166.91552778112489</v>
      </c>
      <c r="BC11" s="47">
        <f>INDEX(Direct_Cost_Splits_Network,MATCH($H11,RIN_Asset_Cat_Network,0),MATCH($BE$4,Direct_Cost_Type,0))*$N11*INDEX(Act_Type_Repex_Splits,MATCH($I11,Act_Type_Repex,0),MATCH(BC$4,Mat_Type,0))*INDEX(Escalators!$I$44:$U$49,MATCH(BC$4,Escalators!$C$44:$C$49,0),MATCH(BC$5,Escalators!$I$43:$U$43,0))</f>
        <v>0</v>
      </c>
      <c r="BD11" s="47">
        <f>INDEX(Direct_Cost_Splits_Network,MATCH($H11,RIN_Asset_Cat_Network,0),MATCH($BE$4,Direct_Cost_Type,0))*$N11*INDEX(Act_Type_Repex_Splits,MATCH($I11,Act_Type_Repex,0),MATCH(BD$4,Mat_Type,0))*INDEX(Escalators!$I$44:$U$49,MATCH(BD$4,Escalators!$C$44:$C$49,0),MATCH(BD$5,Escalators!$I$43:$U$43,0))</f>
        <v>166.91552778112489</v>
      </c>
      <c r="BE11" s="47">
        <f t="shared" si="12"/>
        <v>417.28881945281228</v>
      </c>
      <c r="BF11" s="47">
        <f>INDEX(Direct_Cost_Splits_Network,MATCH($H11,RIN_Asset_Cat_Network,0),MATCH($BK$4,Direct_Cost_Type,0))*$O11*INDEX(Act_Type_Repex_Splits,MATCH($I11,Act_Type_Repex,0),MATCH(BF$4,Mat_Type,0))*INDEX(Escalators!$I$44:$U$49,MATCH(BF$4,Escalators!$C$44:$C$49,0),MATCH(BF$5,Escalators!$I$43:$U$43,0))</f>
        <v>42.180004993338315</v>
      </c>
      <c r="BG11" s="47">
        <f>INDEX(Direct_Cost_Splits_Network,MATCH($H11,RIN_Asset_Cat_Network,0),MATCH($BK$4,Direct_Cost_Type,0))*$O11*INDEX(Act_Type_Repex_Splits,MATCH($I11,Act_Type_Repex,0),MATCH(BG$4,Mat_Type,0))*INDEX(Escalators!$I$44:$U$49,MATCH(BG$4,Escalators!$C$44:$C$49,0),MATCH(BG$5,Escalators!$I$43:$U$43,0))</f>
        <v>126.54001498001494</v>
      </c>
      <c r="BH11" s="47">
        <f>INDEX(Direct_Cost_Splits_Network,MATCH($H11,RIN_Asset_Cat_Network,0),MATCH($BK$4,Direct_Cost_Type,0))*$O11*INDEX(Act_Type_Repex_Splits,MATCH($I11,Act_Type_Repex,0),MATCH(BH$4,Mat_Type,0))*INDEX(Escalators!$I$44:$U$49,MATCH(BH$4,Escalators!$C$44:$C$49,0),MATCH(BH$5,Escalators!$I$43:$U$43,0))</f>
        <v>337.44003994670652</v>
      </c>
      <c r="BI11" s="47">
        <f>INDEX(Direct_Cost_Splits_Network,MATCH($H11,RIN_Asset_Cat_Network,0),MATCH($BK$4,Direct_Cost_Type,0))*$O11*INDEX(Act_Type_Repex_Splits,MATCH($I11,Act_Type_Repex,0),MATCH(BI$4,Mat_Type,0))*INDEX(Escalators!$I$44:$U$49,MATCH(BI$4,Escalators!$C$44:$C$49,0),MATCH(BI$5,Escalators!$I$43:$U$43,0))</f>
        <v>0</v>
      </c>
      <c r="BJ11" s="47">
        <f>INDEX(Direct_Cost_Splits_Network,MATCH($H11,RIN_Asset_Cat_Network,0),MATCH($BK$4,Direct_Cost_Type,0))*$O11*INDEX(Act_Type_Repex_Splits,MATCH($I11,Act_Type_Repex,0),MATCH(BJ$4,Mat_Type,0))*INDEX(Escalators!$I$44:$U$49,MATCH(BJ$4,Escalators!$C$44:$C$49,0),MATCH(BJ$5,Escalators!$I$43:$U$43,0))</f>
        <v>337.44003994670652</v>
      </c>
      <c r="BK11" s="47">
        <f t="shared" si="13"/>
        <v>843.6000998667663</v>
      </c>
      <c r="BL11" s="47">
        <f>INDEX(Direct_Cost_Splits_Network,MATCH($H11,RIN_Asset_Cat_Network,0),MATCH($BQ$4,Direct_Cost_Type,0))*$P11*INDEX(Act_Type_Repex_Splits,MATCH($I11,Act_Type_Repex,0),MATCH(BL$4,Mat_Type,0))*INDEX(Escalators!$I$44:$U$49,MATCH(BL$4,Escalators!$C$44:$C$49,0),MATCH(BL$5,Escalators!$I$43:$U$43,0))</f>
        <v>25.150109929183007</v>
      </c>
      <c r="BM11" s="47">
        <f>INDEX(Direct_Cost_Splits_Network,MATCH($H11,RIN_Asset_Cat_Network,0),MATCH($BQ$4,Direct_Cost_Type,0))*$P11*INDEX(Act_Type_Repex_Splits,MATCH($I11,Act_Type_Repex,0),MATCH(BM$4,Mat_Type,0))*INDEX(Escalators!$I$44:$U$49,MATCH(BM$4,Escalators!$C$44:$C$49,0),MATCH(BM$5,Escalators!$I$43:$U$43,0))</f>
        <v>75.450329787549009</v>
      </c>
      <c r="BN11" s="47">
        <f>INDEX(Direct_Cost_Splits_Network,MATCH($H11,RIN_Asset_Cat_Network,0),MATCH($BQ$4,Direct_Cost_Type,0))*$P11*INDEX(Act_Type_Repex_Splits,MATCH($I11,Act_Type_Repex,0),MATCH(BN$4,Mat_Type,0))*INDEX(Escalators!$I$44:$U$49,MATCH(BN$4,Escalators!$C$44:$C$49,0),MATCH(BN$5,Escalators!$I$43:$U$43,0))</f>
        <v>201.20087943346405</v>
      </c>
      <c r="BO11" s="47">
        <f>INDEX(Direct_Cost_Splits_Network,MATCH($H11,RIN_Asset_Cat_Network,0),MATCH($BQ$4,Direct_Cost_Type,0))*$P11*INDEX(Act_Type_Repex_Splits,MATCH($I11,Act_Type_Repex,0),MATCH(BO$4,Mat_Type,0))*INDEX(Escalators!$I$44:$U$49,MATCH(BO$4,Escalators!$C$44:$C$49,0),MATCH(BO$5,Escalators!$I$43:$U$43,0))</f>
        <v>0</v>
      </c>
      <c r="BP11" s="47">
        <f>INDEX(Direct_Cost_Splits_Network,MATCH($H11,RIN_Asset_Cat_Network,0),MATCH($BQ$4,Direct_Cost_Type,0))*$P11*INDEX(Act_Type_Repex_Splits,MATCH($I11,Act_Type_Repex,0),MATCH(BP$4,Mat_Type,0))*INDEX(Escalators!$I$44:$U$49,MATCH(BP$4,Escalators!$C$44:$C$49,0),MATCH(BP$5,Escalators!$I$43:$U$43,0))</f>
        <v>201.20087943346405</v>
      </c>
      <c r="BQ11" s="47">
        <f t="shared" si="14"/>
        <v>503.00219858366006</v>
      </c>
      <c r="BR11" s="47">
        <f>INDEX(Direct_Cost_Splits_Network,MATCH($H11,RIN_Asset_Cat_Network,0),MATCH($BW$4,Direct_Cost_Type,0))*$Q11*INDEX(Act_Type_Repex_Splits,MATCH($I11,Act_Type_Repex,0),MATCH(BR$4,Mat_Type,0))*INDEX(Escalators!$I$44:$U$49,MATCH(BR$4,Escalators!$C$44:$C$49,0),MATCH(BR$5,Escalators!$I$43:$U$43,0))</f>
        <v>1.1278076201427358</v>
      </c>
      <c r="BS11" s="47">
        <f>INDEX(Direct_Cost_Splits_Network,MATCH($H11,RIN_Asset_Cat_Network,0),MATCH($BW$4,Direct_Cost_Type,0))*$Q11*INDEX(Act_Type_Repex_Splits,MATCH($I11,Act_Type_Repex,0),MATCH(BS$4,Mat_Type,0))*INDEX(Escalators!$I$44:$U$49,MATCH(BS$4,Escalators!$C$44:$C$49,0),MATCH(BS$5,Escalators!$I$43:$U$43,0))</f>
        <v>3.3834228604282068</v>
      </c>
      <c r="BT11" s="47">
        <f>INDEX(Direct_Cost_Splits_Network,MATCH($H11,RIN_Asset_Cat_Network,0),MATCH($BW$4,Direct_Cost_Type,0))*$Q11*INDEX(Act_Type_Repex_Splits,MATCH($I11,Act_Type_Repex,0),MATCH(BT$4,Mat_Type,0))*INDEX(Escalators!$I$44:$U$49,MATCH(BT$4,Escalators!$C$44:$C$49,0),MATCH(BT$5,Escalators!$I$43:$U$43,0))</f>
        <v>9.0224609611418867</v>
      </c>
      <c r="BU11" s="47">
        <f>INDEX(Direct_Cost_Splits_Network,MATCH($H11,RIN_Asset_Cat_Network,0),MATCH($BW$4,Direct_Cost_Type,0))*$Q11*INDEX(Act_Type_Repex_Splits,MATCH($I11,Act_Type_Repex,0),MATCH(BU$4,Mat_Type,0))*INDEX(Escalators!$I$44:$U$49,MATCH(BU$4,Escalators!$C$44:$C$49,0),MATCH(BU$5,Escalators!$I$43:$U$43,0))</f>
        <v>0</v>
      </c>
      <c r="BV11" s="47">
        <f>INDEX(Direct_Cost_Splits_Network,MATCH($H11,RIN_Asset_Cat_Network,0),MATCH($BW$4,Direct_Cost_Type,0))*$Q11*INDEX(Act_Type_Repex_Splits,MATCH($I11,Act_Type_Repex,0),MATCH(BV$4,Mat_Type,0))*INDEX(Escalators!$I$44:$U$49,MATCH(BV$4,Escalators!$C$44:$C$49,0),MATCH(BV$5,Escalators!$I$43:$U$43,0))</f>
        <v>9.0224609611418867</v>
      </c>
      <c r="BW11" s="47">
        <f t="shared" si="15"/>
        <v>22.556152402854714</v>
      </c>
      <c r="BY11" s="47">
        <f>INDEX(Direct_Cost_Splits_Network,MATCH($H11,RIN_Asset_Cat_Network,0),MATCH($BY$4,Direct_Cost_Type,0))*J11*HLOOKUP(BY$5,Escalators!$I$25:$U$30,6,FALSE)</f>
        <v>0</v>
      </c>
      <c r="BZ11" s="47">
        <f>INDEX(Direct_Cost_Splits_Network,MATCH($H11,RIN_Asset_Cat_Network,0),MATCH($BY$4,Direct_Cost_Type,0))*K11*HLOOKUP(BZ$5,Escalators!$I$25:$U$30,6,FALSE)</f>
        <v>0</v>
      </c>
      <c r="CA11" s="47">
        <f>INDEX(Direct_Cost_Splits_Network,MATCH($H11,RIN_Asset_Cat_Network,0),MATCH($BY$4,Direct_Cost_Type,0))*L11*HLOOKUP(CA$5,Escalators!$I$25:$U$30,6,FALSE)</f>
        <v>0</v>
      </c>
      <c r="CB11" s="47">
        <f>INDEX(Direct_Cost_Splits_Network,MATCH($H11,RIN_Asset_Cat_Network,0),MATCH($BY$4,Direct_Cost_Type,0))*M11*HLOOKUP(CB$5,Escalators!$I$25:$U$30,6,FALSE)</f>
        <v>49.935908306191152</v>
      </c>
      <c r="CC11" s="47">
        <f>INDEX(Direct_Cost_Splits_Network,MATCH($H11,RIN_Asset_Cat_Network,0),MATCH($BY$4,Direct_Cost_Type,0))*N11*HLOOKUP(CC$5,Escalators!$I$25:$U$30,6,FALSE)</f>
        <v>1166.6159853884355</v>
      </c>
      <c r="CD11" s="47">
        <f>INDEX(Direct_Cost_Splits_Network,MATCH($H11,RIN_Asset_Cat_Network,0),MATCH($BY$4,Direct_Cost_Type,0))*O11*HLOOKUP(CD$5,Escalators!$I$25:$U$30,6,FALSE)</f>
        <v>2383.8422503015195</v>
      </c>
      <c r="CE11" s="47">
        <f>INDEX(Direct_Cost_Splits_Network,MATCH($H11,RIN_Asset_Cat_Network,0),MATCH($BY$4,Direct_Cost_Type,0))*P11*HLOOKUP(CE$5,Escalators!$I$25:$U$30,6,FALSE)</f>
        <v>1434.8214106490436</v>
      </c>
      <c r="CF11" s="47">
        <f>INDEX(Direct_Cost_Splits_Network,MATCH($H11,RIN_Asset_Cat_Network,0),MATCH($BY$4,Direct_Cost_Type,0))*Q11*HLOOKUP(CF$5,Escalators!$I$25:$U$30,6,FALSE)</f>
        <v>64.90797484586345</v>
      </c>
      <c r="CH11" s="83">
        <f t="shared" si="16"/>
        <v>0</v>
      </c>
      <c r="CI11" s="83">
        <f t="shared" si="17"/>
        <v>0</v>
      </c>
      <c r="CJ11" s="83">
        <f t="shared" si="18"/>
        <v>0</v>
      </c>
      <c r="CK11" s="83">
        <f t="shared" si="19"/>
        <v>7.4808482406112056</v>
      </c>
      <c r="CL11" s="83">
        <f t="shared" si="20"/>
        <v>172.99461556413414</v>
      </c>
      <c r="CM11" s="83">
        <f t="shared" si="21"/>
        <v>349.72965524857392</v>
      </c>
      <c r="CN11" s="83">
        <f t="shared" si="22"/>
        <v>208.52864470703736</v>
      </c>
      <c r="CO11" s="83">
        <f t="shared" si="23"/>
        <v>9.3510603007640078</v>
      </c>
      <c r="CQ11" s="47">
        <f t="shared" si="24"/>
        <v>0</v>
      </c>
      <c r="CR11" s="47">
        <f t="shared" si="25"/>
        <v>0</v>
      </c>
      <c r="CS11" s="47">
        <f t="shared" si="26"/>
        <v>0</v>
      </c>
      <c r="CT11" s="47">
        <f t="shared" si="27"/>
        <v>83.926495774037562</v>
      </c>
      <c r="CU11" s="47">
        <f t="shared" si="28"/>
        <v>1954.6567360588281</v>
      </c>
      <c r="CV11" s="47">
        <f t="shared" si="29"/>
        <v>3981.2657691448912</v>
      </c>
      <c r="CW11" s="47">
        <f t="shared" si="30"/>
        <v>2389.5740459997651</v>
      </c>
      <c r="CX11" s="47">
        <f t="shared" si="31"/>
        <v>107.81797426832306</v>
      </c>
      <c r="CZ11" s="47">
        <f t="shared" si="32"/>
        <v>8206.0000000000018</v>
      </c>
      <c r="DA11" s="47">
        <f t="shared" si="33"/>
        <v>8517.2410212458435</v>
      </c>
      <c r="DB11" s="47">
        <f>DA11*Escalators!$M$17</f>
        <v>9009.3482802511589</v>
      </c>
      <c r="DC11" s="47">
        <f>SUMPRODUCT(1+AusNet_Overheads!$K$20:$O$20,CT11:CX11)</f>
        <v>9448.7345364494977</v>
      </c>
      <c r="DD11" s="373">
        <f>DC11*Escalators!$M$17</f>
        <v>9994.6614207776911</v>
      </c>
      <c r="DE11" s="158"/>
      <c r="DF11" s="158"/>
      <c r="DG11" s="204"/>
      <c r="DH11" s="263"/>
    </row>
    <row r="12" spans="2:112" x14ac:dyDescent="0.3">
      <c r="B12" s="7" t="s">
        <v>434</v>
      </c>
      <c r="C12" s="7" t="s">
        <v>437</v>
      </c>
      <c r="D12" s="7" t="s">
        <v>107</v>
      </c>
      <c r="E12" s="7" t="s">
        <v>44</v>
      </c>
      <c r="F12" s="7" t="s">
        <v>131</v>
      </c>
      <c r="G12" s="7" t="s">
        <v>150</v>
      </c>
      <c r="H12" s="7" t="s">
        <v>176</v>
      </c>
      <c r="I12" s="7" t="s">
        <v>248</v>
      </c>
      <c r="J12" s="45"/>
      <c r="K12" s="45">
        <v>0</v>
      </c>
      <c r="L12" s="45">
        <v>104.7</v>
      </c>
      <c r="M12" s="45">
        <v>2421.1875000000005</v>
      </c>
      <c r="N12" s="45">
        <v>4894.7249999999995</v>
      </c>
      <c r="O12" s="45">
        <v>2918.5124999999998</v>
      </c>
      <c r="P12" s="45">
        <v>130.875</v>
      </c>
      <c r="Q12" s="45">
        <v>0</v>
      </c>
      <c r="S12" s="47">
        <f>INDEX(Direct_Cost_Splits_Network,MATCH($H12,RIN_Asset_Cat_Network,0),MATCH($S$4,Direct_Cost_Type,0))*J12*HLOOKUP(S$5,Escalators!$I$25:$U$30,3,FALSE)</f>
        <v>0</v>
      </c>
      <c r="T12" s="47">
        <f>INDEX(Direct_Cost_Splits_Network,MATCH($H12,RIN_Asset_Cat_Network,0),MATCH($S$4,Direct_Cost_Type,0))*K12*HLOOKUP(T$5,Escalators!$I$25:$U$30,3,FALSE)</f>
        <v>0</v>
      </c>
      <c r="U12" s="47">
        <f>INDEX(Direct_Cost_Splits_Network,MATCH($H12,RIN_Asset_Cat_Network,0),MATCH($S$4,Direct_Cost_Type,0))*L12*HLOOKUP(U$5,Escalators!$I$25:$U$30,3,FALSE)</f>
        <v>10.697868741094714</v>
      </c>
      <c r="V12" s="47">
        <f>INDEX(Direct_Cost_Splits_Network,MATCH($H12,RIN_Asset_Cat_Network,0),MATCH($S$4,Direct_Cost_Type,0))*M12*HLOOKUP(V$5,Escalators!$I$25:$U$30,3,FALSE)</f>
        <v>249.75517729139747</v>
      </c>
      <c r="W12" s="47">
        <f>INDEX(Direct_Cost_Splits_Network,MATCH($H12,RIN_Asset_Cat_Network,0),MATCH($S$4,Direct_Cost_Type,0))*N12*HLOOKUP(W$5,Escalators!$I$25:$U$30,3,FALSE)</f>
        <v>510.09092983344493</v>
      </c>
      <c r="X12" s="47">
        <f>INDEX(Direct_Cost_Splits_Network,MATCH($H12,RIN_Asset_Cat_Network,0),MATCH($S$4,Direct_Cost_Type,0))*O12*HLOOKUP(X$5,Escalators!$I$25:$U$30,3,FALSE)</f>
        <v>307.4189097614256</v>
      </c>
      <c r="Y12" s="47">
        <f>INDEX(Direct_Cost_Splits_Network,MATCH($H12,RIN_Asset_Cat_Network,0),MATCH($S$4,Direct_Cost_Type,0))*P12*HLOOKUP(Y$5,Escalators!$I$25:$U$30,3,FALSE)</f>
        <v>13.915947769096265</v>
      </c>
      <c r="Z12" s="47">
        <f>INDEX(Direct_Cost_Splits_Network,MATCH($H12,RIN_Asset_Cat_Network,0),MATCH($S$4,Direct_Cost_Type,0))*Q12*HLOOKUP(Z$5,Escalators!$I$25:$U$30,3,FALSE)</f>
        <v>0</v>
      </c>
      <c r="AB12" s="6"/>
      <c r="AC12" s="6"/>
      <c r="AD12" s="6"/>
      <c r="AE12" s="6"/>
      <c r="AF12" s="6"/>
      <c r="AG12" s="47">
        <f t="shared" si="8"/>
        <v>0</v>
      </c>
      <c r="AH12" s="47">
        <f>INDEX(Direct_Cost_Splits_Network,MATCH($H12,RIN_Asset_Cat_Network,0),MATCH($AY$4,Direct_Cost_Type,0))*$K12*INDEX(Act_Type_Repex_Splits,MATCH($I12,Act_Type_Repex,0),MATCH(AH$4,Mat_Type,0))*INDEX(Escalators!$I$44:$U$49,MATCH(AH$4,Escalators!$C$44:$C$49,0),MATCH(AH$5,Escalators!$I$43:$U$43,0))</f>
        <v>0</v>
      </c>
      <c r="AI12" s="47">
        <f>INDEX(Direct_Cost_Splits_Network,MATCH($H12,RIN_Asset_Cat_Network,0),MATCH($AY$4,Direct_Cost_Type,0))*$K12*INDEX(Act_Type_Repex_Splits,MATCH($I12,Act_Type_Repex,0),MATCH(AI$4,Mat_Type,0))*INDEX(Escalators!$I$44:$U$49,MATCH(AI$4,Escalators!$C$44:$C$49,0),MATCH(AI$5,Escalators!$I$43:$U$43,0))</f>
        <v>0</v>
      </c>
      <c r="AJ12" s="47">
        <f>INDEX(Direct_Cost_Splits_Network,MATCH($H12,RIN_Asset_Cat_Network,0),MATCH($AY$4,Direct_Cost_Type,0))*$K12*INDEX(Act_Type_Repex_Splits,MATCH($I12,Act_Type_Repex,0),MATCH(AJ$4,Mat_Type,0))*INDEX(Escalators!$I$44:$U$49,MATCH(AJ$4,Escalators!$C$44:$C$49,0),MATCH(AJ$5,Escalators!$I$43:$U$43,0))</f>
        <v>0</v>
      </c>
      <c r="AK12" s="47">
        <f>INDEX(Direct_Cost_Splits_Network,MATCH($H12,RIN_Asset_Cat_Network,0),MATCH($AY$4,Direct_Cost_Type,0))*$K12*INDEX(Act_Type_Repex_Splits,MATCH($I12,Act_Type_Repex,0),MATCH(AK$4,Mat_Type,0))*INDEX(Escalators!$I$44:$U$49,MATCH(AK$4,Escalators!$C$44:$C$49,0),MATCH(AK$5,Escalators!$I$43:$U$43,0))</f>
        <v>0</v>
      </c>
      <c r="AL12" s="47">
        <f>INDEX(Direct_Cost_Splits_Network,MATCH($H12,RIN_Asset_Cat_Network,0),MATCH($AY$4,Direct_Cost_Type,0))*$K12*INDEX(Act_Type_Repex_Splits,MATCH($I12,Act_Type_Repex,0),MATCH(AL$4,Mat_Type,0))*INDEX(Escalators!$I$44:$U$49,MATCH(AL$4,Escalators!$C$44:$C$49,0),MATCH(AL$5,Escalators!$I$43:$U$43,0))</f>
        <v>0</v>
      </c>
      <c r="AM12" s="47">
        <f t="shared" si="9"/>
        <v>0</v>
      </c>
      <c r="AN12" s="47">
        <f>INDEX(Direct_Cost_Splits_Network,MATCH($H12,RIN_Asset_Cat_Network,0),MATCH($AY$4,Direct_Cost_Type,0))*$L12*INDEX(Act_Type_Repex_Splits,MATCH($I12,Act_Type_Repex,0),MATCH(AN$4,Mat_Type,0))*INDEX(Escalators!$I$44:$U$49,MATCH(AN$4,Escalators!$C$44:$C$49,0),MATCH(AN$5,Escalators!$I$43:$U$43,0))</f>
        <v>1.1511719018176401</v>
      </c>
      <c r="AO12" s="47">
        <f>INDEX(Direct_Cost_Splits_Network,MATCH($H12,RIN_Asset_Cat_Network,0),MATCH($AY$4,Direct_Cost_Type,0))*$L12*INDEX(Act_Type_Repex_Splits,MATCH($I12,Act_Type_Repex,0),MATCH(AO$4,Mat_Type,0))*INDEX(Escalators!$I$44:$U$49,MATCH(AO$4,Escalators!$C$44:$C$49,0),MATCH(AO$5,Escalators!$I$43:$U$43,0))</f>
        <v>3.45351570545292</v>
      </c>
      <c r="AP12" s="47">
        <f>INDEX(Direct_Cost_Splits_Network,MATCH($H12,RIN_Asset_Cat_Network,0),MATCH($AY$4,Direct_Cost_Type,0))*$L12*INDEX(Act_Type_Repex_Splits,MATCH($I12,Act_Type_Repex,0),MATCH(AP$4,Mat_Type,0))*INDEX(Escalators!$I$44:$U$49,MATCH(AP$4,Escalators!$C$44:$C$49,0),MATCH(AP$5,Escalators!$I$43:$U$43,0))</f>
        <v>9.2093752145411205</v>
      </c>
      <c r="AQ12" s="47">
        <f>INDEX(Direct_Cost_Splits_Network,MATCH($H12,RIN_Asset_Cat_Network,0),MATCH($AY$4,Direct_Cost_Type,0))*$L12*INDEX(Act_Type_Repex_Splits,MATCH($I12,Act_Type_Repex,0),MATCH(AQ$4,Mat_Type,0))*INDEX(Escalators!$I$44:$U$49,MATCH(AQ$4,Escalators!$C$44:$C$49,0),MATCH(AQ$5,Escalators!$I$43:$U$43,0))</f>
        <v>0</v>
      </c>
      <c r="AR12" s="47">
        <f>INDEX(Direct_Cost_Splits_Network,MATCH($H12,RIN_Asset_Cat_Network,0),MATCH($AY$4,Direct_Cost_Type,0))*$L12*INDEX(Act_Type_Repex_Splits,MATCH($I12,Act_Type_Repex,0),MATCH(AR$4,Mat_Type,0))*INDEX(Escalators!$I$44:$U$49,MATCH(AR$4,Escalators!$C$44:$C$49,0),MATCH(AR$5,Escalators!$I$43:$U$43,0))</f>
        <v>9.2093752145411205</v>
      </c>
      <c r="AS12" s="47">
        <f t="shared" si="10"/>
        <v>23.0234380363528</v>
      </c>
      <c r="AT12" s="47">
        <f>INDEX(Direct_Cost_Splits_Network,MATCH($H12,RIN_Asset_Cat_Network,0),MATCH($AY$4,Direct_Cost_Type,0))*$M12*INDEX(Act_Type_Repex_Splits,MATCH($I12,Act_Type_Repex,0),MATCH(AT$4,Mat_Type,0))*INDEX(Escalators!$I$44:$U$49,MATCH(AT$4,Escalators!$C$44:$C$49,0),MATCH(AT$5,Escalators!$I$43:$U$43,0))</f>
        <v>26.620850229532934</v>
      </c>
      <c r="AU12" s="47">
        <f>INDEX(Direct_Cost_Splits_Network,MATCH($H12,RIN_Asset_Cat_Network,0),MATCH($AY$4,Direct_Cost_Type,0))*$M12*INDEX(Act_Type_Repex_Splits,MATCH($I12,Act_Type_Repex,0),MATCH(AU$4,Mat_Type,0))*INDEX(Escalators!$I$44:$U$49,MATCH(AU$4,Escalators!$C$44:$C$49,0),MATCH(AU$5,Escalators!$I$43:$U$43,0))</f>
        <v>79.862550688598787</v>
      </c>
      <c r="AV12" s="47">
        <f>INDEX(Direct_Cost_Splits_Network,MATCH($H12,RIN_Asset_Cat_Network,0),MATCH($AY$4,Direct_Cost_Type,0))*$M12*INDEX(Act_Type_Repex_Splits,MATCH($I12,Act_Type_Repex,0),MATCH(AV$4,Mat_Type,0))*INDEX(Escalators!$I$44:$U$49,MATCH(AV$4,Escalators!$C$44:$C$49,0),MATCH(AV$5,Escalators!$I$43:$U$43,0))</f>
        <v>212.96680183626347</v>
      </c>
      <c r="AW12" s="47">
        <f>INDEX(Direct_Cost_Splits_Network,MATCH($H12,RIN_Asset_Cat_Network,0),MATCH($AY$4,Direct_Cost_Type,0))*$M12*INDEX(Act_Type_Repex_Splits,MATCH($I12,Act_Type_Repex,0),MATCH(AW$4,Mat_Type,0))*INDEX(Escalators!$I$44:$U$49,MATCH(AW$4,Escalators!$C$44:$C$49,0),MATCH(AW$5,Escalators!$I$43:$U$43,0))</f>
        <v>0</v>
      </c>
      <c r="AX12" s="47">
        <f>INDEX(Direct_Cost_Splits_Network,MATCH($H12,RIN_Asset_Cat_Network,0),MATCH($AY$4,Direct_Cost_Type,0))*$M12*INDEX(Act_Type_Repex_Splits,MATCH($I12,Act_Type_Repex,0),MATCH(AX$4,Mat_Type,0))*INDEX(Escalators!$I$44:$U$49,MATCH(AX$4,Escalators!$C$44:$C$49,0),MATCH(AX$5,Escalators!$I$43:$U$43,0))</f>
        <v>212.96680183626347</v>
      </c>
      <c r="AY12" s="47">
        <f t="shared" si="11"/>
        <v>532.41700459065873</v>
      </c>
      <c r="AZ12" s="47">
        <f>INDEX(Direct_Cost_Splits_Network,MATCH($H12,RIN_Asset_Cat_Network,0),MATCH($BE$4,Direct_Cost_Type,0))*$N12*INDEX(Act_Type_Repex_Splits,MATCH($I12,Act_Type_Repex,0),MATCH(AZ$4,Mat_Type,0))*INDEX(Escalators!$I$44:$U$49,MATCH(AZ$4,Escalators!$C$44:$C$49,0),MATCH(AZ$5,Escalators!$I$43:$U$43,0))</f>
        <v>53.81728640997467</v>
      </c>
      <c r="BA12" s="47">
        <f>INDEX(Direct_Cost_Splits_Network,MATCH($H12,RIN_Asset_Cat_Network,0),MATCH($BE$4,Direct_Cost_Type,0))*$N12*INDEX(Act_Type_Repex_Splits,MATCH($I12,Act_Type_Repex,0),MATCH(BA$4,Mat_Type,0))*INDEX(Escalators!$I$44:$U$49,MATCH(BA$4,Escalators!$C$44:$C$49,0),MATCH(BA$5,Escalators!$I$43:$U$43,0))</f>
        <v>161.451859229924</v>
      </c>
      <c r="BB12" s="47">
        <f>INDEX(Direct_Cost_Splits_Network,MATCH($H12,RIN_Asset_Cat_Network,0),MATCH($BE$4,Direct_Cost_Type,0))*$N12*INDEX(Act_Type_Repex_Splits,MATCH($I12,Act_Type_Repex,0),MATCH(BB$4,Mat_Type,0))*INDEX(Escalators!$I$44:$U$49,MATCH(BB$4,Escalators!$C$44:$C$49,0),MATCH(BB$5,Escalators!$I$43:$U$43,0))</f>
        <v>430.53829127979736</v>
      </c>
      <c r="BC12" s="47">
        <f>INDEX(Direct_Cost_Splits_Network,MATCH($H12,RIN_Asset_Cat_Network,0),MATCH($BE$4,Direct_Cost_Type,0))*$N12*INDEX(Act_Type_Repex_Splits,MATCH($I12,Act_Type_Repex,0),MATCH(BC$4,Mat_Type,0))*INDEX(Escalators!$I$44:$U$49,MATCH(BC$4,Escalators!$C$44:$C$49,0),MATCH(BC$5,Escalators!$I$43:$U$43,0))</f>
        <v>0</v>
      </c>
      <c r="BD12" s="47">
        <f>INDEX(Direct_Cost_Splits_Network,MATCH($H12,RIN_Asset_Cat_Network,0),MATCH($BE$4,Direct_Cost_Type,0))*$N12*INDEX(Act_Type_Repex_Splits,MATCH($I12,Act_Type_Repex,0),MATCH(BD$4,Mat_Type,0))*INDEX(Escalators!$I$44:$U$49,MATCH(BD$4,Escalators!$C$44:$C$49,0),MATCH(BD$5,Escalators!$I$43:$U$43,0))</f>
        <v>430.53829127979736</v>
      </c>
      <c r="BE12" s="47">
        <f t="shared" si="12"/>
        <v>1076.3457281994934</v>
      </c>
      <c r="BF12" s="47">
        <f>INDEX(Direct_Cost_Splits_Network,MATCH($H12,RIN_Asset_Cat_Network,0),MATCH($BK$4,Direct_Cost_Type,0))*$O12*INDEX(Act_Type_Repex_Splits,MATCH($I12,Act_Type_Repex,0),MATCH(BF$4,Mat_Type,0))*INDEX(Escalators!$I$44:$U$49,MATCH(BF$4,Escalators!$C$44:$C$49,0),MATCH(BF$5,Escalators!$I$43:$U$43,0))</f>
        <v>32.088916763166715</v>
      </c>
      <c r="BG12" s="47">
        <f>INDEX(Direct_Cost_Splits_Network,MATCH($H12,RIN_Asset_Cat_Network,0),MATCH($BK$4,Direct_Cost_Type,0))*$O12*INDEX(Act_Type_Repex_Splits,MATCH($I12,Act_Type_Repex,0),MATCH(BG$4,Mat_Type,0))*INDEX(Escalators!$I$44:$U$49,MATCH(BG$4,Escalators!$C$44:$C$49,0),MATCH(BG$5,Escalators!$I$43:$U$43,0))</f>
        <v>96.266750289500138</v>
      </c>
      <c r="BH12" s="47">
        <f>INDEX(Direct_Cost_Splits_Network,MATCH($H12,RIN_Asset_Cat_Network,0),MATCH($BK$4,Direct_Cost_Type,0))*$O12*INDEX(Act_Type_Repex_Splits,MATCH($I12,Act_Type_Repex,0),MATCH(BH$4,Mat_Type,0))*INDEX(Escalators!$I$44:$U$49,MATCH(BH$4,Escalators!$C$44:$C$49,0),MATCH(BH$5,Escalators!$I$43:$U$43,0))</f>
        <v>256.71133410533372</v>
      </c>
      <c r="BI12" s="47">
        <f>INDEX(Direct_Cost_Splits_Network,MATCH($H12,RIN_Asset_Cat_Network,0),MATCH($BK$4,Direct_Cost_Type,0))*$O12*INDEX(Act_Type_Repex_Splits,MATCH($I12,Act_Type_Repex,0),MATCH(BI$4,Mat_Type,0))*INDEX(Escalators!$I$44:$U$49,MATCH(BI$4,Escalators!$C$44:$C$49,0),MATCH(BI$5,Escalators!$I$43:$U$43,0))</f>
        <v>0</v>
      </c>
      <c r="BJ12" s="47">
        <f>INDEX(Direct_Cost_Splits_Network,MATCH($H12,RIN_Asset_Cat_Network,0),MATCH($BK$4,Direct_Cost_Type,0))*$O12*INDEX(Act_Type_Repex_Splits,MATCH($I12,Act_Type_Repex,0),MATCH(BJ$4,Mat_Type,0))*INDEX(Escalators!$I$44:$U$49,MATCH(BJ$4,Escalators!$C$44:$C$49,0),MATCH(BJ$5,Escalators!$I$43:$U$43,0))</f>
        <v>256.71133410533372</v>
      </c>
      <c r="BK12" s="47">
        <f t="shared" si="13"/>
        <v>641.77833526333438</v>
      </c>
      <c r="BL12" s="47">
        <f>INDEX(Direct_Cost_Splits_Network,MATCH($H12,RIN_Asset_Cat_Network,0),MATCH($BQ$4,Direct_Cost_Type,0))*$P12*INDEX(Act_Type_Repex_Splits,MATCH($I12,Act_Type_Repex,0),MATCH(BL$4,Mat_Type,0))*INDEX(Escalators!$I$44:$U$49,MATCH(BL$4,Escalators!$C$44:$C$49,0),MATCH(BL$5,Escalators!$I$43:$U$43,0))</f>
        <v>1.43896487727205</v>
      </c>
      <c r="BM12" s="47">
        <f>INDEX(Direct_Cost_Splits_Network,MATCH($H12,RIN_Asset_Cat_Network,0),MATCH($BQ$4,Direct_Cost_Type,0))*$P12*INDEX(Act_Type_Repex_Splits,MATCH($I12,Act_Type_Repex,0),MATCH(BM$4,Mat_Type,0))*INDEX(Escalators!$I$44:$U$49,MATCH(BM$4,Escalators!$C$44:$C$49,0),MATCH(BM$5,Escalators!$I$43:$U$43,0))</f>
        <v>4.3168946318161501</v>
      </c>
      <c r="BN12" s="47">
        <f>INDEX(Direct_Cost_Splits_Network,MATCH($H12,RIN_Asset_Cat_Network,0),MATCH($BQ$4,Direct_Cost_Type,0))*$P12*INDEX(Act_Type_Repex_Splits,MATCH($I12,Act_Type_Repex,0),MATCH(BN$4,Mat_Type,0))*INDEX(Escalators!$I$44:$U$49,MATCH(BN$4,Escalators!$C$44:$C$49,0),MATCH(BN$5,Escalators!$I$43:$U$43,0))</f>
        <v>11.5117190181764</v>
      </c>
      <c r="BO12" s="47">
        <f>INDEX(Direct_Cost_Splits_Network,MATCH($H12,RIN_Asset_Cat_Network,0),MATCH($BQ$4,Direct_Cost_Type,0))*$P12*INDEX(Act_Type_Repex_Splits,MATCH($I12,Act_Type_Repex,0),MATCH(BO$4,Mat_Type,0))*INDEX(Escalators!$I$44:$U$49,MATCH(BO$4,Escalators!$C$44:$C$49,0),MATCH(BO$5,Escalators!$I$43:$U$43,0))</f>
        <v>0</v>
      </c>
      <c r="BP12" s="47">
        <f>INDEX(Direct_Cost_Splits_Network,MATCH($H12,RIN_Asset_Cat_Network,0),MATCH($BQ$4,Direct_Cost_Type,0))*$P12*INDEX(Act_Type_Repex_Splits,MATCH($I12,Act_Type_Repex,0),MATCH(BP$4,Mat_Type,0))*INDEX(Escalators!$I$44:$U$49,MATCH(BP$4,Escalators!$C$44:$C$49,0),MATCH(BP$5,Escalators!$I$43:$U$43,0))</f>
        <v>11.5117190181764</v>
      </c>
      <c r="BQ12" s="47">
        <f t="shared" si="14"/>
        <v>28.779297545441</v>
      </c>
      <c r="BR12" s="47">
        <f>INDEX(Direct_Cost_Splits_Network,MATCH($H12,RIN_Asset_Cat_Network,0),MATCH($BW$4,Direct_Cost_Type,0))*$Q12*INDEX(Act_Type_Repex_Splits,MATCH($I12,Act_Type_Repex,0),MATCH(BR$4,Mat_Type,0))*INDEX(Escalators!$I$44:$U$49,MATCH(BR$4,Escalators!$C$44:$C$49,0),MATCH(BR$5,Escalators!$I$43:$U$43,0))</f>
        <v>0</v>
      </c>
      <c r="BS12" s="47">
        <f>INDEX(Direct_Cost_Splits_Network,MATCH($H12,RIN_Asset_Cat_Network,0),MATCH($BW$4,Direct_Cost_Type,0))*$Q12*INDEX(Act_Type_Repex_Splits,MATCH($I12,Act_Type_Repex,0),MATCH(BS$4,Mat_Type,0))*INDEX(Escalators!$I$44:$U$49,MATCH(BS$4,Escalators!$C$44:$C$49,0),MATCH(BS$5,Escalators!$I$43:$U$43,0))</f>
        <v>0</v>
      </c>
      <c r="BT12" s="47">
        <f>INDEX(Direct_Cost_Splits_Network,MATCH($H12,RIN_Asset_Cat_Network,0),MATCH($BW$4,Direct_Cost_Type,0))*$Q12*INDEX(Act_Type_Repex_Splits,MATCH($I12,Act_Type_Repex,0),MATCH(BT$4,Mat_Type,0))*INDEX(Escalators!$I$44:$U$49,MATCH(BT$4,Escalators!$C$44:$C$49,0),MATCH(BT$5,Escalators!$I$43:$U$43,0))</f>
        <v>0</v>
      </c>
      <c r="BU12" s="47">
        <f>INDEX(Direct_Cost_Splits_Network,MATCH($H12,RIN_Asset_Cat_Network,0),MATCH($BW$4,Direct_Cost_Type,0))*$Q12*INDEX(Act_Type_Repex_Splits,MATCH($I12,Act_Type_Repex,0),MATCH(BU$4,Mat_Type,0))*INDEX(Escalators!$I$44:$U$49,MATCH(BU$4,Escalators!$C$44:$C$49,0),MATCH(BU$5,Escalators!$I$43:$U$43,0))</f>
        <v>0</v>
      </c>
      <c r="BV12" s="47">
        <f>INDEX(Direct_Cost_Splits_Network,MATCH($H12,RIN_Asset_Cat_Network,0),MATCH($BW$4,Direct_Cost_Type,0))*$Q12*INDEX(Act_Type_Repex_Splits,MATCH($I12,Act_Type_Repex,0),MATCH(BV$4,Mat_Type,0))*INDEX(Escalators!$I$44:$U$49,MATCH(BV$4,Escalators!$C$44:$C$49,0),MATCH(BV$5,Escalators!$I$43:$U$43,0))</f>
        <v>0</v>
      </c>
      <c r="BW12" s="47">
        <f t="shared" si="15"/>
        <v>0</v>
      </c>
      <c r="BY12" s="47">
        <f>INDEX(Direct_Cost_Splits_Network,MATCH($H12,RIN_Asset_Cat_Network,0),MATCH($BY$4,Direct_Cost_Type,0))*J12*HLOOKUP(BY$5,Escalators!$I$25:$U$30,6,FALSE)</f>
        <v>0</v>
      </c>
      <c r="BZ12" s="47">
        <f>INDEX(Direct_Cost_Splits_Network,MATCH($H12,RIN_Asset_Cat_Network,0),MATCH($BY$4,Direct_Cost_Type,0))*K12*HLOOKUP(BZ$5,Escalators!$I$25:$U$30,6,FALSE)</f>
        <v>0</v>
      </c>
      <c r="CA12" s="47">
        <f>INDEX(Direct_Cost_Splits_Network,MATCH($H12,RIN_Asset_Cat_Network,0),MATCH($BY$4,Direct_Cost_Type,0))*L12*HLOOKUP(CA$5,Escalators!$I$25:$U$30,6,FALSE)</f>
        <v>63.109193415727241</v>
      </c>
      <c r="CB12" s="47">
        <f>INDEX(Direct_Cost_Splits_Network,MATCH($H12,RIN_Asset_Cat_Network,0),MATCH($BY$4,Direct_Cost_Type,0))*M12*HLOOKUP(CB$5,Escalators!$I$25:$U$30,6,FALSE)</f>
        <v>1473.3633559845991</v>
      </c>
      <c r="CC12" s="47">
        <f>INDEX(Direct_Cost_Splits_Network,MATCH($H12,RIN_Asset_Cat_Network,0),MATCH($BY$4,Direct_Cost_Type,0))*N12*HLOOKUP(CC$5,Escalators!$I$25:$U$30,6,FALSE)</f>
        <v>3009.1439640502513</v>
      </c>
      <c r="CD12" s="47">
        <f>INDEX(Direct_Cost_Splits_Network,MATCH($H12,RIN_Asset_Cat_Network,0),MATCH($BY$4,Direct_Cost_Type,0))*O12*HLOOKUP(CD$5,Escalators!$I$25:$U$30,6,FALSE)</f>
        <v>1813.5350045246955</v>
      </c>
      <c r="CE12" s="47">
        <f>INDEX(Direct_Cost_Splits_Network,MATCH($H12,RIN_Asset_Cat_Network,0),MATCH($BY$4,Direct_Cost_Type,0))*P12*HLOOKUP(CE$5,Escalators!$I$25:$U$30,6,FALSE)</f>
        <v>82.09338332498416</v>
      </c>
      <c r="CF12" s="47">
        <f>INDEX(Direct_Cost_Splits_Network,MATCH($H12,RIN_Asset_Cat_Network,0),MATCH($BY$4,Direct_Cost_Type,0))*Q12*HLOOKUP(CF$5,Escalators!$I$25:$U$30,6,FALSE)</f>
        <v>0</v>
      </c>
      <c r="CH12" s="83">
        <f t="shared" si="16"/>
        <v>0</v>
      </c>
      <c r="CI12" s="83">
        <f t="shared" si="17"/>
        <v>0</v>
      </c>
      <c r="CJ12" s="83">
        <f t="shared" si="18"/>
        <v>9.544781998440083</v>
      </c>
      <c r="CK12" s="83">
        <f t="shared" si="19"/>
        <v>220.72308371392697</v>
      </c>
      <c r="CL12" s="83">
        <f t="shared" si="20"/>
        <v>446.21855842707384</v>
      </c>
      <c r="CM12" s="83">
        <f t="shared" si="21"/>
        <v>266.06079820651729</v>
      </c>
      <c r="CN12" s="83">
        <f t="shared" si="22"/>
        <v>11.930977498050105</v>
      </c>
      <c r="CO12" s="83">
        <f t="shared" si="23"/>
        <v>0</v>
      </c>
      <c r="CQ12" s="47">
        <f t="shared" si="24"/>
        <v>0</v>
      </c>
      <c r="CR12" s="47">
        <f t="shared" si="25"/>
        <v>0</v>
      </c>
      <c r="CS12" s="47">
        <f t="shared" si="26"/>
        <v>106.37528219161484</v>
      </c>
      <c r="CT12" s="47">
        <f t="shared" si="27"/>
        <v>2476.2586215805823</v>
      </c>
      <c r="CU12" s="47">
        <f t="shared" si="28"/>
        <v>5041.7991805102629</v>
      </c>
      <c r="CV12" s="47">
        <f t="shared" si="29"/>
        <v>3028.7930477559726</v>
      </c>
      <c r="CW12" s="47">
        <f t="shared" si="30"/>
        <v>136.71960613757153</v>
      </c>
      <c r="CX12" s="47">
        <f t="shared" si="31"/>
        <v>0</v>
      </c>
      <c r="CZ12" s="47">
        <f t="shared" si="32"/>
        <v>10365.299999999999</v>
      </c>
      <c r="DA12" s="47">
        <f t="shared" si="33"/>
        <v>10683.570455984389</v>
      </c>
      <c r="DB12" s="47">
        <f>DA12*Escalators!$M$17</f>
        <v>11300.843415663487</v>
      </c>
      <c r="DC12" s="47">
        <f>SUMPRODUCT(1+AusNet_Overheads!$K$20:$O$20,CT12:CX12)</f>
        <v>11825.495113543946</v>
      </c>
      <c r="DD12" s="373">
        <f>DC12*Escalators!$M$17</f>
        <v>12508.745942326485</v>
      </c>
      <c r="DE12" s="158"/>
      <c r="DF12" s="158"/>
      <c r="DG12" s="204"/>
      <c r="DH12" s="263"/>
    </row>
    <row r="13" spans="2:112" x14ac:dyDescent="0.3">
      <c r="B13" s="7" t="s">
        <v>434</v>
      </c>
      <c r="C13" s="7" t="s">
        <v>438</v>
      </c>
      <c r="D13" s="7" t="s">
        <v>107</v>
      </c>
      <c r="E13" s="7" t="s">
        <v>44</v>
      </c>
      <c r="F13" s="7" t="s">
        <v>131</v>
      </c>
      <c r="G13" s="7" t="s">
        <v>150</v>
      </c>
      <c r="H13" s="7" t="s">
        <v>176</v>
      </c>
      <c r="I13" s="7" t="s">
        <v>248</v>
      </c>
      <c r="J13" s="45"/>
      <c r="K13" s="45">
        <v>0</v>
      </c>
      <c r="L13" s="45">
        <v>0</v>
      </c>
      <c r="M13" s="45">
        <v>115.97</v>
      </c>
      <c r="N13" s="45">
        <v>2681.8062500000001</v>
      </c>
      <c r="O13" s="45">
        <v>5421.5975000000008</v>
      </c>
      <c r="P13" s="45">
        <v>3232.6637500000002</v>
      </c>
      <c r="Q13" s="45">
        <v>144.96250000000001</v>
      </c>
      <c r="S13" s="47">
        <f>INDEX(Direct_Cost_Splits_Network,MATCH($H13,RIN_Asset_Cat_Network,0),MATCH($S$4,Direct_Cost_Type,0))*J13*HLOOKUP(S$5,Escalators!$I$25:$U$30,3,FALSE)</f>
        <v>0</v>
      </c>
      <c r="T13" s="47">
        <f>INDEX(Direct_Cost_Splits_Network,MATCH($H13,RIN_Asset_Cat_Network,0),MATCH($S$4,Direct_Cost_Type,0))*K13*HLOOKUP(T$5,Escalators!$I$25:$U$30,3,FALSE)</f>
        <v>0</v>
      </c>
      <c r="U13" s="47">
        <f>INDEX(Direct_Cost_Splits_Network,MATCH($H13,RIN_Asset_Cat_Network,0),MATCH($S$4,Direct_Cost_Type,0))*L13*HLOOKUP(U$5,Escalators!$I$25:$U$30,3,FALSE)</f>
        <v>0</v>
      </c>
      <c r="V13" s="47">
        <f>INDEX(Direct_Cost_Splits_Network,MATCH($H13,RIN_Asset_Cat_Network,0),MATCH($S$4,Direct_Cost_Type,0))*M13*HLOOKUP(V$5,Escalators!$I$25:$U$30,3,FALSE)</f>
        <v>11.962769471791571</v>
      </c>
      <c r="W13" s="47">
        <f>INDEX(Direct_Cost_Splits_Network,MATCH($H13,RIN_Asset_Cat_Network,0),MATCH($S$4,Direct_Cost_Type,0))*N13*HLOOKUP(W$5,Escalators!$I$25:$U$30,3,FALSE)</f>
        <v>279.477405512188</v>
      </c>
      <c r="X13" s="47">
        <f>INDEX(Direct_Cost_Splits_Network,MATCH($H13,RIN_Asset_Cat_Network,0),MATCH($S$4,Direct_Cost_Type,0))*O13*HLOOKUP(X$5,Escalators!$I$25:$U$30,3,FALSE)</f>
        <v>571.07913453009746</v>
      </c>
      <c r="Y13" s="47">
        <f>INDEX(Direct_Cost_Splits_Network,MATCH($H13,RIN_Asset_Cat_Network,0),MATCH($S$4,Direct_Cost_Type,0))*P13*HLOOKUP(Y$5,Escalators!$I$25:$U$30,3,FALSE)</f>
        <v>343.72935931270956</v>
      </c>
      <c r="Z13" s="47">
        <f>INDEX(Direct_Cost_Splits_Network,MATCH($H13,RIN_Asset_Cat_Network,0),MATCH($S$4,Direct_Cost_Type,0))*Q13*HLOOKUP(Z$5,Escalators!$I$25:$U$30,3,FALSE)</f>
        <v>15.549514693931005</v>
      </c>
      <c r="AB13" s="6"/>
      <c r="AC13" s="6"/>
      <c r="AD13" s="6"/>
      <c r="AE13" s="6"/>
      <c r="AF13" s="6"/>
      <c r="AG13" s="47">
        <f t="shared" si="8"/>
        <v>0</v>
      </c>
      <c r="AH13" s="47">
        <f>INDEX(Direct_Cost_Splits_Network,MATCH($H13,RIN_Asset_Cat_Network,0),MATCH($AY$4,Direct_Cost_Type,0))*$K13*INDEX(Act_Type_Repex_Splits,MATCH($I13,Act_Type_Repex,0),MATCH(AH$4,Mat_Type,0))*INDEX(Escalators!$I$44:$U$49,MATCH(AH$4,Escalators!$C$44:$C$49,0),MATCH(AH$5,Escalators!$I$43:$U$43,0))</f>
        <v>0</v>
      </c>
      <c r="AI13" s="47">
        <f>INDEX(Direct_Cost_Splits_Network,MATCH($H13,RIN_Asset_Cat_Network,0),MATCH($AY$4,Direct_Cost_Type,0))*$K13*INDEX(Act_Type_Repex_Splits,MATCH($I13,Act_Type_Repex,0),MATCH(AI$4,Mat_Type,0))*INDEX(Escalators!$I$44:$U$49,MATCH(AI$4,Escalators!$C$44:$C$49,0),MATCH(AI$5,Escalators!$I$43:$U$43,0))</f>
        <v>0</v>
      </c>
      <c r="AJ13" s="47">
        <f>INDEX(Direct_Cost_Splits_Network,MATCH($H13,RIN_Asset_Cat_Network,0),MATCH($AY$4,Direct_Cost_Type,0))*$K13*INDEX(Act_Type_Repex_Splits,MATCH($I13,Act_Type_Repex,0),MATCH(AJ$4,Mat_Type,0))*INDEX(Escalators!$I$44:$U$49,MATCH(AJ$4,Escalators!$C$44:$C$49,0),MATCH(AJ$5,Escalators!$I$43:$U$43,0))</f>
        <v>0</v>
      </c>
      <c r="AK13" s="47">
        <f>INDEX(Direct_Cost_Splits_Network,MATCH($H13,RIN_Asset_Cat_Network,0),MATCH($AY$4,Direct_Cost_Type,0))*$K13*INDEX(Act_Type_Repex_Splits,MATCH($I13,Act_Type_Repex,0),MATCH(AK$4,Mat_Type,0))*INDEX(Escalators!$I$44:$U$49,MATCH(AK$4,Escalators!$C$44:$C$49,0),MATCH(AK$5,Escalators!$I$43:$U$43,0))</f>
        <v>0</v>
      </c>
      <c r="AL13" s="47">
        <f>INDEX(Direct_Cost_Splits_Network,MATCH($H13,RIN_Asset_Cat_Network,0),MATCH($AY$4,Direct_Cost_Type,0))*$K13*INDEX(Act_Type_Repex_Splits,MATCH($I13,Act_Type_Repex,0),MATCH(AL$4,Mat_Type,0))*INDEX(Escalators!$I$44:$U$49,MATCH(AL$4,Escalators!$C$44:$C$49,0),MATCH(AL$5,Escalators!$I$43:$U$43,0))</f>
        <v>0</v>
      </c>
      <c r="AM13" s="47">
        <f t="shared" si="9"/>
        <v>0</v>
      </c>
      <c r="AN13" s="47">
        <f>INDEX(Direct_Cost_Splits_Network,MATCH($H13,RIN_Asset_Cat_Network,0),MATCH($AY$4,Direct_Cost_Type,0))*$L13*INDEX(Act_Type_Repex_Splits,MATCH($I13,Act_Type_Repex,0),MATCH(AN$4,Mat_Type,0))*INDEX(Escalators!$I$44:$U$49,MATCH(AN$4,Escalators!$C$44:$C$49,0),MATCH(AN$5,Escalators!$I$43:$U$43,0))</f>
        <v>0</v>
      </c>
      <c r="AO13" s="47">
        <f>INDEX(Direct_Cost_Splits_Network,MATCH($H13,RIN_Asset_Cat_Network,0),MATCH($AY$4,Direct_Cost_Type,0))*$L13*INDEX(Act_Type_Repex_Splits,MATCH($I13,Act_Type_Repex,0),MATCH(AO$4,Mat_Type,0))*INDEX(Escalators!$I$44:$U$49,MATCH(AO$4,Escalators!$C$44:$C$49,0),MATCH(AO$5,Escalators!$I$43:$U$43,0))</f>
        <v>0</v>
      </c>
      <c r="AP13" s="47">
        <f>INDEX(Direct_Cost_Splits_Network,MATCH($H13,RIN_Asset_Cat_Network,0),MATCH($AY$4,Direct_Cost_Type,0))*$L13*INDEX(Act_Type_Repex_Splits,MATCH($I13,Act_Type_Repex,0),MATCH(AP$4,Mat_Type,0))*INDEX(Escalators!$I$44:$U$49,MATCH(AP$4,Escalators!$C$44:$C$49,0),MATCH(AP$5,Escalators!$I$43:$U$43,0))</f>
        <v>0</v>
      </c>
      <c r="AQ13" s="47">
        <f>INDEX(Direct_Cost_Splits_Network,MATCH($H13,RIN_Asset_Cat_Network,0),MATCH($AY$4,Direct_Cost_Type,0))*$L13*INDEX(Act_Type_Repex_Splits,MATCH($I13,Act_Type_Repex,0),MATCH(AQ$4,Mat_Type,0))*INDEX(Escalators!$I$44:$U$49,MATCH(AQ$4,Escalators!$C$44:$C$49,0),MATCH(AQ$5,Escalators!$I$43:$U$43,0))</f>
        <v>0</v>
      </c>
      <c r="AR13" s="47">
        <f>INDEX(Direct_Cost_Splits_Network,MATCH($H13,RIN_Asset_Cat_Network,0),MATCH($AY$4,Direct_Cost_Type,0))*$L13*INDEX(Act_Type_Repex_Splits,MATCH($I13,Act_Type_Repex,0),MATCH(AR$4,Mat_Type,0))*INDEX(Escalators!$I$44:$U$49,MATCH(AR$4,Escalators!$C$44:$C$49,0),MATCH(AR$5,Escalators!$I$43:$U$43,0))</f>
        <v>0</v>
      </c>
      <c r="AS13" s="47">
        <f t="shared" si="10"/>
        <v>0</v>
      </c>
      <c r="AT13" s="47">
        <f>INDEX(Direct_Cost_Splits_Network,MATCH($H13,RIN_Asset_Cat_Network,0),MATCH($AY$4,Direct_Cost_Type,0))*$M13*INDEX(Act_Type_Repex_Splits,MATCH($I13,Act_Type_Repex,0),MATCH(AT$4,Mat_Type,0))*INDEX(Escalators!$I$44:$U$49,MATCH(AT$4,Escalators!$C$44:$C$49,0),MATCH(AT$5,Escalators!$I$43:$U$43,0))</f>
        <v>1.2750850568652503</v>
      </c>
      <c r="AU13" s="47">
        <f>INDEX(Direct_Cost_Splits_Network,MATCH($H13,RIN_Asset_Cat_Network,0),MATCH($AY$4,Direct_Cost_Type,0))*$M13*INDEX(Act_Type_Repex_Splits,MATCH($I13,Act_Type_Repex,0),MATCH(AU$4,Mat_Type,0))*INDEX(Escalators!$I$44:$U$49,MATCH(AU$4,Escalators!$C$44:$C$49,0),MATCH(AU$5,Escalators!$I$43:$U$43,0))</f>
        <v>3.8252551705957507</v>
      </c>
      <c r="AV13" s="47">
        <f>INDEX(Direct_Cost_Splits_Network,MATCH($H13,RIN_Asset_Cat_Network,0),MATCH($AY$4,Direct_Cost_Type,0))*$M13*INDEX(Act_Type_Repex_Splits,MATCH($I13,Act_Type_Repex,0),MATCH(AV$4,Mat_Type,0))*INDEX(Escalators!$I$44:$U$49,MATCH(AV$4,Escalators!$C$44:$C$49,0),MATCH(AV$5,Escalators!$I$43:$U$43,0))</f>
        <v>10.200680454922002</v>
      </c>
      <c r="AW13" s="47">
        <f>INDEX(Direct_Cost_Splits_Network,MATCH($H13,RIN_Asset_Cat_Network,0),MATCH($AY$4,Direct_Cost_Type,0))*$M13*INDEX(Act_Type_Repex_Splits,MATCH($I13,Act_Type_Repex,0),MATCH(AW$4,Mat_Type,0))*INDEX(Escalators!$I$44:$U$49,MATCH(AW$4,Escalators!$C$44:$C$49,0),MATCH(AW$5,Escalators!$I$43:$U$43,0))</f>
        <v>0</v>
      </c>
      <c r="AX13" s="47">
        <f>INDEX(Direct_Cost_Splits_Network,MATCH($H13,RIN_Asset_Cat_Network,0),MATCH($AY$4,Direct_Cost_Type,0))*$M13*INDEX(Act_Type_Repex_Splits,MATCH($I13,Act_Type_Repex,0),MATCH(AX$4,Mat_Type,0))*INDEX(Escalators!$I$44:$U$49,MATCH(AX$4,Escalators!$C$44:$C$49,0),MATCH(AX$5,Escalators!$I$43:$U$43,0))</f>
        <v>10.200680454922002</v>
      </c>
      <c r="AY13" s="47">
        <f t="shared" si="11"/>
        <v>25.501701137305005</v>
      </c>
      <c r="AZ13" s="47">
        <f>INDEX(Direct_Cost_Splits_Network,MATCH($H13,RIN_Asset_Cat_Network,0),MATCH($BE$4,Direct_Cost_Type,0))*$N13*INDEX(Act_Type_Repex_Splits,MATCH($I13,Act_Type_Repex,0),MATCH(AZ$4,Mat_Type,0))*INDEX(Escalators!$I$44:$U$49,MATCH(AZ$4,Escalators!$C$44:$C$49,0),MATCH(AZ$5,Escalators!$I$43:$U$43,0))</f>
        <v>29.486341940008913</v>
      </c>
      <c r="BA13" s="47">
        <f>INDEX(Direct_Cost_Splits_Network,MATCH($H13,RIN_Asset_Cat_Network,0),MATCH($BE$4,Direct_Cost_Type,0))*$N13*INDEX(Act_Type_Repex_Splits,MATCH($I13,Act_Type_Repex,0),MATCH(BA$4,Mat_Type,0))*INDEX(Escalators!$I$44:$U$49,MATCH(BA$4,Escalators!$C$44:$C$49,0),MATCH(BA$5,Escalators!$I$43:$U$43,0))</f>
        <v>88.459025820026739</v>
      </c>
      <c r="BB13" s="47">
        <f>INDEX(Direct_Cost_Splits_Network,MATCH($H13,RIN_Asset_Cat_Network,0),MATCH($BE$4,Direct_Cost_Type,0))*$N13*INDEX(Act_Type_Repex_Splits,MATCH($I13,Act_Type_Repex,0),MATCH(BB$4,Mat_Type,0))*INDEX(Escalators!$I$44:$U$49,MATCH(BB$4,Escalators!$C$44:$C$49,0),MATCH(BB$5,Escalators!$I$43:$U$43,0))</f>
        <v>235.8907355200713</v>
      </c>
      <c r="BC13" s="47">
        <f>INDEX(Direct_Cost_Splits_Network,MATCH($H13,RIN_Asset_Cat_Network,0),MATCH($BE$4,Direct_Cost_Type,0))*$N13*INDEX(Act_Type_Repex_Splits,MATCH($I13,Act_Type_Repex,0),MATCH(BC$4,Mat_Type,0))*INDEX(Escalators!$I$44:$U$49,MATCH(BC$4,Escalators!$C$44:$C$49,0),MATCH(BC$5,Escalators!$I$43:$U$43,0))</f>
        <v>0</v>
      </c>
      <c r="BD13" s="47">
        <f>INDEX(Direct_Cost_Splits_Network,MATCH($H13,RIN_Asset_Cat_Network,0),MATCH($BE$4,Direct_Cost_Type,0))*$N13*INDEX(Act_Type_Repex_Splits,MATCH($I13,Act_Type_Repex,0),MATCH(BD$4,Mat_Type,0))*INDEX(Escalators!$I$44:$U$49,MATCH(BD$4,Escalators!$C$44:$C$49,0),MATCH(BD$5,Escalators!$I$43:$U$43,0))</f>
        <v>235.8907355200713</v>
      </c>
      <c r="BE13" s="47">
        <f t="shared" si="12"/>
        <v>589.72683880017826</v>
      </c>
      <c r="BF13" s="47">
        <f>INDEX(Direct_Cost_Splits_Network,MATCH($H13,RIN_Asset_Cat_Network,0),MATCH($BK$4,Direct_Cost_Type,0))*$O13*INDEX(Act_Type_Repex_Splits,MATCH($I13,Act_Type_Repex,0),MATCH(BF$4,Mat_Type,0))*INDEX(Escalators!$I$44:$U$49,MATCH(BF$4,Escalators!$C$44:$C$49,0),MATCH(BF$5,Escalators!$I$43:$U$43,0))</f>
        <v>59.610226408450472</v>
      </c>
      <c r="BG13" s="47">
        <f>INDEX(Direct_Cost_Splits_Network,MATCH($H13,RIN_Asset_Cat_Network,0),MATCH($BK$4,Direct_Cost_Type,0))*$O13*INDEX(Act_Type_Repex_Splits,MATCH($I13,Act_Type_Repex,0),MATCH(BG$4,Mat_Type,0))*INDEX(Escalators!$I$44:$U$49,MATCH(BG$4,Escalators!$C$44:$C$49,0),MATCH(BG$5,Escalators!$I$43:$U$43,0))</f>
        <v>178.83067922535139</v>
      </c>
      <c r="BH13" s="47">
        <f>INDEX(Direct_Cost_Splits_Network,MATCH($H13,RIN_Asset_Cat_Network,0),MATCH($BK$4,Direct_Cost_Type,0))*$O13*INDEX(Act_Type_Repex_Splits,MATCH($I13,Act_Type_Repex,0),MATCH(BH$4,Mat_Type,0))*INDEX(Escalators!$I$44:$U$49,MATCH(BH$4,Escalators!$C$44:$C$49,0),MATCH(BH$5,Escalators!$I$43:$U$43,0))</f>
        <v>476.88181126760378</v>
      </c>
      <c r="BI13" s="47">
        <f>INDEX(Direct_Cost_Splits_Network,MATCH($H13,RIN_Asset_Cat_Network,0),MATCH($BK$4,Direct_Cost_Type,0))*$O13*INDEX(Act_Type_Repex_Splits,MATCH($I13,Act_Type_Repex,0),MATCH(BI$4,Mat_Type,0))*INDEX(Escalators!$I$44:$U$49,MATCH(BI$4,Escalators!$C$44:$C$49,0),MATCH(BI$5,Escalators!$I$43:$U$43,0))</f>
        <v>0</v>
      </c>
      <c r="BJ13" s="47">
        <f>INDEX(Direct_Cost_Splits_Network,MATCH($H13,RIN_Asset_Cat_Network,0),MATCH($BK$4,Direct_Cost_Type,0))*$O13*INDEX(Act_Type_Repex_Splits,MATCH($I13,Act_Type_Repex,0),MATCH(BJ$4,Mat_Type,0))*INDEX(Escalators!$I$44:$U$49,MATCH(BJ$4,Escalators!$C$44:$C$49,0),MATCH(BJ$5,Escalators!$I$43:$U$43,0))</f>
        <v>476.88181126760378</v>
      </c>
      <c r="BK13" s="47">
        <f t="shared" si="13"/>
        <v>1192.2045281690093</v>
      </c>
      <c r="BL13" s="47">
        <f>INDEX(Direct_Cost_Splits_Network,MATCH($H13,RIN_Asset_Cat_Network,0),MATCH($BQ$4,Direct_Cost_Type,0))*$P13*INDEX(Act_Type_Repex_Splits,MATCH($I13,Act_Type_Repex,0),MATCH(BL$4,Mat_Type,0))*INDEX(Escalators!$I$44:$U$49,MATCH(BL$4,Escalators!$C$44:$C$49,0),MATCH(BL$5,Escalators!$I$43:$U$43,0))</f>
        <v>35.542995960118859</v>
      </c>
      <c r="BM13" s="47">
        <f>INDEX(Direct_Cost_Splits_Network,MATCH($H13,RIN_Asset_Cat_Network,0),MATCH($BQ$4,Direct_Cost_Type,0))*$P13*INDEX(Act_Type_Repex_Splits,MATCH($I13,Act_Type_Repex,0),MATCH(BM$4,Mat_Type,0))*INDEX(Escalators!$I$44:$U$49,MATCH(BM$4,Escalators!$C$44:$C$49,0),MATCH(BM$5,Escalators!$I$43:$U$43,0))</f>
        <v>106.62898788035656</v>
      </c>
      <c r="BN13" s="47">
        <f>INDEX(Direct_Cost_Splits_Network,MATCH($H13,RIN_Asset_Cat_Network,0),MATCH($BQ$4,Direct_Cost_Type,0))*$P13*INDEX(Act_Type_Repex_Splits,MATCH($I13,Act_Type_Repex,0),MATCH(BN$4,Mat_Type,0))*INDEX(Escalators!$I$44:$U$49,MATCH(BN$4,Escalators!$C$44:$C$49,0),MATCH(BN$5,Escalators!$I$43:$U$43,0))</f>
        <v>284.34396768095087</v>
      </c>
      <c r="BO13" s="47">
        <f>INDEX(Direct_Cost_Splits_Network,MATCH($H13,RIN_Asset_Cat_Network,0),MATCH($BQ$4,Direct_Cost_Type,0))*$P13*INDEX(Act_Type_Repex_Splits,MATCH($I13,Act_Type_Repex,0),MATCH(BO$4,Mat_Type,0))*INDEX(Escalators!$I$44:$U$49,MATCH(BO$4,Escalators!$C$44:$C$49,0),MATCH(BO$5,Escalators!$I$43:$U$43,0))</f>
        <v>0</v>
      </c>
      <c r="BP13" s="47">
        <f>INDEX(Direct_Cost_Splits_Network,MATCH($H13,RIN_Asset_Cat_Network,0),MATCH($BQ$4,Direct_Cost_Type,0))*$P13*INDEX(Act_Type_Repex_Splits,MATCH($I13,Act_Type_Repex,0),MATCH(BP$4,Mat_Type,0))*INDEX(Escalators!$I$44:$U$49,MATCH(BP$4,Escalators!$C$44:$C$49,0),MATCH(BP$5,Escalators!$I$43:$U$43,0))</f>
        <v>284.34396768095087</v>
      </c>
      <c r="BQ13" s="47">
        <f t="shared" si="14"/>
        <v>710.85991920237711</v>
      </c>
      <c r="BR13" s="47">
        <f>INDEX(Direct_Cost_Splits_Network,MATCH($H13,RIN_Asset_Cat_Network,0),MATCH($BW$4,Direct_Cost_Type,0))*$Q13*INDEX(Act_Type_Repex_Splits,MATCH($I13,Act_Type_Repex,0),MATCH(BR$4,Mat_Type,0))*INDEX(Escalators!$I$44:$U$49,MATCH(BR$4,Escalators!$C$44:$C$49,0),MATCH(BR$5,Escalators!$I$43:$U$43,0))</f>
        <v>1.5938563210815631</v>
      </c>
      <c r="BS13" s="47">
        <f>INDEX(Direct_Cost_Splits_Network,MATCH($H13,RIN_Asset_Cat_Network,0),MATCH($BW$4,Direct_Cost_Type,0))*$Q13*INDEX(Act_Type_Repex_Splits,MATCH($I13,Act_Type_Repex,0),MATCH(BS$4,Mat_Type,0))*INDEX(Escalators!$I$44:$U$49,MATCH(BS$4,Escalators!$C$44:$C$49,0),MATCH(BS$5,Escalators!$I$43:$U$43,0))</f>
        <v>4.7815689632446885</v>
      </c>
      <c r="BT13" s="47">
        <f>INDEX(Direct_Cost_Splits_Network,MATCH($H13,RIN_Asset_Cat_Network,0),MATCH($BW$4,Direct_Cost_Type,0))*$Q13*INDEX(Act_Type_Repex_Splits,MATCH($I13,Act_Type_Repex,0),MATCH(BT$4,Mat_Type,0))*INDEX(Escalators!$I$44:$U$49,MATCH(BT$4,Escalators!$C$44:$C$49,0),MATCH(BT$5,Escalators!$I$43:$U$43,0))</f>
        <v>12.750850568652504</v>
      </c>
      <c r="BU13" s="47">
        <f>INDEX(Direct_Cost_Splits_Network,MATCH($H13,RIN_Asset_Cat_Network,0),MATCH($BW$4,Direct_Cost_Type,0))*$Q13*INDEX(Act_Type_Repex_Splits,MATCH($I13,Act_Type_Repex,0),MATCH(BU$4,Mat_Type,0))*INDEX(Escalators!$I$44:$U$49,MATCH(BU$4,Escalators!$C$44:$C$49,0),MATCH(BU$5,Escalators!$I$43:$U$43,0))</f>
        <v>0</v>
      </c>
      <c r="BV13" s="47">
        <f>INDEX(Direct_Cost_Splits_Network,MATCH($H13,RIN_Asset_Cat_Network,0),MATCH($BW$4,Direct_Cost_Type,0))*$Q13*INDEX(Act_Type_Repex_Splits,MATCH($I13,Act_Type_Repex,0),MATCH(BV$4,Mat_Type,0))*INDEX(Escalators!$I$44:$U$49,MATCH(BV$4,Escalators!$C$44:$C$49,0),MATCH(BV$5,Escalators!$I$43:$U$43,0))</f>
        <v>12.750850568652504</v>
      </c>
      <c r="BW13" s="47">
        <f t="shared" si="15"/>
        <v>31.87712642163126</v>
      </c>
      <c r="BY13" s="47">
        <f>INDEX(Direct_Cost_Splits_Network,MATCH($H13,RIN_Asset_Cat_Network,0),MATCH($BY$4,Direct_Cost_Type,0))*J13*HLOOKUP(BY$5,Escalators!$I$25:$U$30,6,FALSE)</f>
        <v>0</v>
      </c>
      <c r="BZ13" s="47">
        <f>INDEX(Direct_Cost_Splits_Network,MATCH($H13,RIN_Asset_Cat_Network,0),MATCH($BY$4,Direct_Cost_Type,0))*K13*HLOOKUP(BZ$5,Escalators!$I$25:$U$30,6,FALSE)</f>
        <v>0</v>
      </c>
      <c r="CA13" s="47">
        <f>INDEX(Direct_Cost_Splits_Network,MATCH($H13,RIN_Asset_Cat_Network,0),MATCH($BY$4,Direct_Cost_Type,0))*L13*HLOOKUP(CA$5,Escalators!$I$25:$U$30,6,FALSE)</f>
        <v>0</v>
      </c>
      <c r="CB13" s="47">
        <f>INDEX(Direct_Cost_Splits_Network,MATCH($H13,RIN_Asset_Cat_Network,0),MATCH($BY$4,Direct_Cost_Type,0))*M13*HLOOKUP(CB$5,Escalators!$I$25:$U$30,6,FALSE)</f>
        <v>70.571134368376647</v>
      </c>
      <c r="CC13" s="47">
        <f>INDEX(Direct_Cost_Splits_Network,MATCH($H13,RIN_Asset_Cat_Network,0),MATCH($BY$4,Direct_Cost_Type,0))*N13*HLOOKUP(CC$5,Escalators!$I$25:$U$30,6,FALSE)</f>
        <v>1648.7016308249679</v>
      </c>
      <c r="CD13" s="47">
        <f>INDEX(Direct_Cost_Splits_Network,MATCH($H13,RIN_Asset_Cat_Network,0),MATCH($BY$4,Direct_Cost_Type,0))*O13*HLOOKUP(CD$5,Escalators!$I$25:$U$30,6,FALSE)</f>
        <v>3368.9274405004539</v>
      </c>
      <c r="CE13" s="47">
        <f>INDEX(Direct_Cost_Splits_Network,MATCH($H13,RIN_Asset_Cat_Network,0),MATCH($BY$4,Direct_Cost_Type,0))*P13*HLOOKUP(CE$5,Escalators!$I$25:$U$30,6,FALSE)</f>
        <v>2027.7387154882961</v>
      </c>
      <c r="CF13" s="47">
        <f>INDEX(Direct_Cost_Splits_Network,MATCH($H13,RIN_Asset_Cat_Network,0),MATCH($BY$4,Direct_Cost_Type,0))*Q13*HLOOKUP(CF$5,Escalators!$I$25:$U$30,6,FALSE)</f>
        <v>91.730171129353948</v>
      </c>
      <c r="CH13" s="83">
        <f t="shared" si="16"/>
        <v>0</v>
      </c>
      <c r="CI13" s="83">
        <f t="shared" si="17"/>
        <v>0</v>
      </c>
      <c r="CJ13" s="83">
        <f t="shared" si="18"/>
        <v>0</v>
      </c>
      <c r="CK13" s="83">
        <f t="shared" si="19"/>
        <v>10.572190719762144</v>
      </c>
      <c r="CL13" s="83">
        <f t="shared" si="20"/>
        <v>244.48191039449958</v>
      </c>
      <c r="CM13" s="83">
        <f t="shared" si="21"/>
        <v>494.24991614888029</v>
      </c>
      <c r="CN13" s="83">
        <f t="shared" si="22"/>
        <v>294.69981631336975</v>
      </c>
      <c r="CO13" s="83">
        <f t="shared" si="23"/>
        <v>13.215238399702681</v>
      </c>
      <c r="CQ13" s="47">
        <f t="shared" si="24"/>
        <v>0</v>
      </c>
      <c r="CR13" s="47">
        <f t="shared" si="25"/>
        <v>0</v>
      </c>
      <c r="CS13" s="47">
        <f t="shared" si="26"/>
        <v>0</v>
      </c>
      <c r="CT13" s="47">
        <f t="shared" si="27"/>
        <v>118.60779569723537</v>
      </c>
      <c r="CU13" s="47">
        <f t="shared" si="28"/>
        <v>2762.3877855318337</v>
      </c>
      <c r="CV13" s="47">
        <f t="shared" si="29"/>
        <v>5626.4610193484414</v>
      </c>
      <c r="CW13" s="47">
        <f t="shared" si="30"/>
        <v>3377.0278103167525</v>
      </c>
      <c r="CX13" s="47">
        <f t="shared" si="31"/>
        <v>152.37205064461889</v>
      </c>
      <c r="CZ13" s="47">
        <f t="shared" si="32"/>
        <v>11597</v>
      </c>
      <c r="DA13" s="47">
        <f t="shared" si="33"/>
        <v>12036.856461538882</v>
      </c>
      <c r="DB13" s="47">
        <f>DA13*Escalators!$M$17</f>
        <v>12732.319279316684</v>
      </c>
      <c r="DC13" s="47">
        <f>SUMPRODUCT(1+AusNet_Overheads!$K$20:$O$20,CT13:CX13)</f>
        <v>13353.274971874829</v>
      </c>
      <c r="DD13" s="373">
        <f>DC13*Escalators!$M$17</f>
        <v>14124.797525805374</v>
      </c>
      <c r="DE13" s="158"/>
      <c r="DF13" s="158"/>
      <c r="DG13" s="204"/>
      <c r="DH13" s="263"/>
    </row>
    <row r="14" spans="2:112" x14ac:dyDescent="0.3">
      <c r="B14" s="7"/>
      <c r="C14" s="7"/>
      <c r="D14" s="7"/>
      <c r="E14" s="7" t="s">
        <v>44</v>
      </c>
      <c r="F14" s="7" t="s">
        <v>131</v>
      </c>
      <c r="G14" s="7" t="s">
        <v>150</v>
      </c>
      <c r="H14" s="7" t="s">
        <v>176</v>
      </c>
      <c r="I14" s="7" t="s">
        <v>248</v>
      </c>
      <c r="J14" s="45"/>
      <c r="K14" s="45"/>
      <c r="L14" s="45"/>
      <c r="M14" s="45"/>
      <c r="N14" s="45"/>
      <c r="O14" s="45"/>
      <c r="P14" s="45"/>
      <c r="Q14" s="45"/>
      <c r="S14" s="47">
        <f>INDEX(Direct_Cost_Splits_Network,MATCH($H14,RIN_Asset_Cat_Network,0),MATCH($S$4,Direct_Cost_Type,0))*J14*HLOOKUP(S$5,Escalators!$I$25:$U$30,3,FALSE)</f>
        <v>0</v>
      </c>
      <c r="T14" s="47">
        <f>INDEX(Direct_Cost_Splits_Network,MATCH($H14,RIN_Asset_Cat_Network,0),MATCH($S$4,Direct_Cost_Type,0))*K14*HLOOKUP(T$5,Escalators!$I$25:$U$30,3,FALSE)</f>
        <v>0</v>
      </c>
      <c r="U14" s="47">
        <f>INDEX(Direct_Cost_Splits_Network,MATCH($H14,RIN_Asset_Cat_Network,0),MATCH($S$4,Direct_Cost_Type,0))*L14*HLOOKUP(U$5,Escalators!$I$25:$U$30,3,FALSE)</f>
        <v>0</v>
      </c>
      <c r="V14" s="47">
        <f>INDEX(Direct_Cost_Splits_Network,MATCH($H14,RIN_Asset_Cat_Network,0),MATCH($S$4,Direct_Cost_Type,0))*M14*HLOOKUP(V$5,Escalators!$I$25:$U$30,3,FALSE)</f>
        <v>0</v>
      </c>
      <c r="W14" s="47">
        <f>INDEX(Direct_Cost_Splits_Network,MATCH($H14,RIN_Asset_Cat_Network,0),MATCH($S$4,Direct_Cost_Type,0))*N14*HLOOKUP(W$5,Escalators!$I$25:$U$30,3,FALSE)</f>
        <v>0</v>
      </c>
      <c r="X14" s="47">
        <f>INDEX(Direct_Cost_Splits_Network,MATCH($H14,RIN_Asset_Cat_Network,0),MATCH($S$4,Direct_Cost_Type,0))*O14*HLOOKUP(X$5,Escalators!$I$25:$U$30,3,FALSE)</f>
        <v>0</v>
      </c>
      <c r="Y14" s="47">
        <f>INDEX(Direct_Cost_Splits_Network,MATCH($H14,RIN_Asset_Cat_Network,0),MATCH($S$4,Direct_Cost_Type,0))*P14*HLOOKUP(Y$5,Escalators!$I$25:$U$30,3,FALSE)</f>
        <v>0</v>
      </c>
      <c r="Z14" s="47">
        <f>INDEX(Direct_Cost_Splits_Network,MATCH($H14,RIN_Asset_Cat_Network,0),MATCH($S$4,Direct_Cost_Type,0))*Q14*HLOOKUP(Z$5,Escalators!$I$25:$U$30,3,FALSE)</f>
        <v>0</v>
      </c>
      <c r="AB14" s="6"/>
      <c r="AC14" s="6"/>
      <c r="AD14" s="6"/>
      <c r="AE14" s="6"/>
      <c r="AF14" s="6"/>
      <c r="AG14" s="47">
        <f t="shared" si="8"/>
        <v>0</v>
      </c>
      <c r="AH14" s="47">
        <f>INDEX(Direct_Cost_Splits_Network,MATCH($H14,RIN_Asset_Cat_Network,0),MATCH($AY$4,Direct_Cost_Type,0))*$K14*INDEX(Act_Type_Repex_Splits,MATCH($I14,Act_Type_Repex,0),MATCH(AH$4,Mat_Type,0))*INDEX(Escalators!$I$44:$U$49,MATCH(AH$4,Escalators!$C$44:$C$49,0),MATCH(AH$5,Escalators!$I$43:$U$43,0))</f>
        <v>0</v>
      </c>
      <c r="AI14" s="47">
        <f>INDEX(Direct_Cost_Splits_Network,MATCH($H14,RIN_Asset_Cat_Network,0),MATCH($AY$4,Direct_Cost_Type,0))*$K14*INDEX(Act_Type_Repex_Splits,MATCH($I14,Act_Type_Repex,0),MATCH(AI$4,Mat_Type,0))*INDEX(Escalators!$I$44:$U$49,MATCH(AI$4,Escalators!$C$44:$C$49,0),MATCH(AI$5,Escalators!$I$43:$U$43,0))</f>
        <v>0</v>
      </c>
      <c r="AJ14" s="47">
        <f>INDEX(Direct_Cost_Splits_Network,MATCH($H14,RIN_Asset_Cat_Network,0),MATCH($AY$4,Direct_Cost_Type,0))*$K14*INDEX(Act_Type_Repex_Splits,MATCH($I14,Act_Type_Repex,0),MATCH(AJ$4,Mat_Type,0))*INDEX(Escalators!$I$44:$U$49,MATCH(AJ$4,Escalators!$C$44:$C$49,0),MATCH(AJ$5,Escalators!$I$43:$U$43,0))</f>
        <v>0</v>
      </c>
      <c r="AK14" s="47">
        <f>INDEX(Direct_Cost_Splits_Network,MATCH($H14,RIN_Asset_Cat_Network,0),MATCH($AY$4,Direct_Cost_Type,0))*$K14*INDEX(Act_Type_Repex_Splits,MATCH($I14,Act_Type_Repex,0),MATCH(AK$4,Mat_Type,0))*INDEX(Escalators!$I$44:$U$49,MATCH(AK$4,Escalators!$C$44:$C$49,0),MATCH(AK$5,Escalators!$I$43:$U$43,0))</f>
        <v>0</v>
      </c>
      <c r="AL14" s="47">
        <f>INDEX(Direct_Cost_Splits_Network,MATCH($H14,RIN_Asset_Cat_Network,0),MATCH($AY$4,Direct_Cost_Type,0))*$K14*INDEX(Act_Type_Repex_Splits,MATCH($I14,Act_Type_Repex,0),MATCH(AL$4,Mat_Type,0))*INDEX(Escalators!$I$44:$U$49,MATCH(AL$4,Escalators!$C$44:$C$49,0),MATCH(AL$5,Escalators!$I$43:$U$43,0))</f>
        <v>0</v>
      </c>
      <c r="AM14" s="47">
        <f t="shared" si="9"/>
        <v>0</v>
      </c>
      <c r="AN14" s="47">
        <f>INDEX(Direct_Cost_Splits_Network,MATCH($H14,RIN_Asset_Cat_Network,0),MATCH($AY$4,Direct_Cost_Type,0))*$L14*INDEX(Act_Type_Repex_Splits,MATCH($I14,Act_Type_Repex,0),MATCH(AN$4,Mat_Type,0))*INDEX(Escalators!$I$44:$U$49,MATCH(AN$4,Escalators!$C$44:$C$49,0),MATCH(AN$5,Escalators!$I$43:$U$43,0))</f>
        <v>0</v>
      </c>
      <c r="AO14" s="47">
        <f>INDEX(Direct_Cost_Splits_Network,MATCH($H14,RIN_Asset_Cat_Network,0),MATCH($AY$4,Direct_Cost_Type,0))*$L14*INDEX(Act_Type_Repex_Splits,MATCH($I14,Act_Type_Repex,0),MATCH(AO$4,Mat_Type,0))*INDEX(Escalators!$I$44:$U$49,MATCH(AO$4,Escalators!$C$44:$C$49,0),MATCH(AO$5,Escalators!$I$43:$U$43,0))</f>
        <v>0</v>
      </c>
      <c r="AP14" s="47">
        <f>INDEX(Direct_Cost_Splits_Network,MATCH($H14,RIN_Asset_Cat_Network,0),MATCH($AY$4,Direct_Cost_Type,0))*$L14*INDEX(Act_Type_Repex_Splits,MATCH($I14,Act_Type_Repex,0),MATCH(AP$4,Mat_Type,0))*INDEX(Escalators!$I$44:$U$49,MATCH(AP$4,Escalators!$C$44:$C$49,0),MATCH(AP$5,Escalators!$I$43:$U$43,0))</f>
        <v>0</v>
      </c>
      <c r="AQ14" s="47">
        <f>INDEX(Direct_Cost_Splits_Network,MATCH($H14,RIN_Asset_Cat_Network,0),MATCH($AY$4,Direct_Cost_Type,0))*$L14*INDEX(Act_Type_Repex_Splits,MATCH($I14,Act_Type_Repex,0),MATCH(AQ$4,Mat_Type,0))*INDEX(Escalators!$I$44:$U$49,MATCH(AQ$4,Escalators!$C$44:$C$49,0),MATCH(AQ$5,Escalators!$I$43:$U$43,0))</f>
        <v>0</v>
      </c>
      <c r="AR14" s="47">
        <f>INDEX(Direct_Cost_Splits_Network,MATCH($H14,RIN_Asset_Cat_Network,0),MATCH($AY$4,Direct_Cost_Type,0))*$L14*INDEX(Act_Type_Repex_Splits,MATCH($I14,Act_Type_Repex,0),MATCH(AR$4,Mat_Type,0))*INDEX(Escalators!$I$44:$U$49,MATCH(AR$4,Escalators!$C$44:$C$49,0),MATCH(AR$5,Escalators!$I$43:$U$43,0))</f>
        <v>0</v>
      </c>
      <c r="AS14" s="47">
        <f t="shared" si="10"/>
        <v>0</v>
      </c>
      <c r="AT14" s="47">
        <f>INDEX(Direct_Cost_Splits_Network,MATCH($H14,RIN_Asset_Cat_Network,0),MATCH($AY$4,Direct_Cost_Type,0))*$M14*INDEX(Act_Type_Repex_Splits,MATCH($I14,Act_Type_Repex,0),MATCH(AT$4,Mat_Type,0))*INDEX(Escalators!$I$44:$U$49,MATCH(AT$4,Escalators!$C$44:$C$49,0),MATCH(AT$5,Escalators!$I$43:$U$43,0))</f>
        <v>0</v>
      </c>
      <c r="AU14" s="47">
        <f>INDEX(Direct_Cost_Splits_Network,MATCH($H14,RIN_Asset_Cat_Network,0),MATCH($AY$4,Direct_Cost_Type,0))*$M14*INDEX(Act_Type_Repex_Splits,MATCH($I14,Act_Type_Repex,0),MATCH(AU$4,Mat_Type,0))*INDEX(Escalators!$I$44:$U$49,MATCH(AU$4,Escalators!$C$44:$C$49,0),MATCH(AU$5,Escalators!$I$43:$U$43,0))</f>
        <v>0</v>
      </c>
      <c r="AV14" s="47">
        <f>INDEX(Direct_Cost_Splits_Network,MATCH($H14,RIN_Asset_Cat_Network,0),MATCH($AY$4,Direct_Cost_Type,0))*$M14*INDEX(Act_Type_Repex_Splits,MATCH($I14,Act_Type_Repex,0),MATCH(AV$4,Mat_Type,0))*INDEX(Escalators!$I$44:$U$49,MATCH(AV$4,Escalators!$C$44:$C$49,0),MATCH(AV$5,Escalators!$I$43:$U$43,0))</f>
        <v>0</v>
      </c>
      <c r="AW14" s="47">
        <f>INDEX(Direct_Cost_Splits_Network,MATCH($H14,RIN_Asset_Cat_Network,0),MATCH($AY$4,Direct_Cost_Type,0))*$M14*INDEX(Act_Type_Repex_Splits,MATCH($I14,Act_Type_Repex,0),MATCH(AW$4,Mat_Type,0))*INDEX(Escalators!$I$44:$U$49,MATCH(AW$4,Escalators!$C$44:$C$49,0),MATCH(AW$5,Escalators!$I$43:$U$43,0))</f>
        <v>0</v>
      </c>
      <c r="AX14" s="47">
        <f>INDEX(Direct_Cost_Splits_Network,MATCH($H14,RIN_Asset_Cat_Network,0),MATCH($AY$4,Direct_Cost_Type,0))*$M14*INDEX(Act_Type_Repex_Splits,MATCH($I14,Act_Type_Repex,0),MATCH(AX$4,Mat_Type,0))*INDEX(Escalators!$I$44:$U$49,MATCH(AX$4,Escalators!$C$44:$C$49,0),MATCH(AX$5,Escalators!$I$43:$U$43,0))</f>
        <v>0</v>
      </c>
      <c r="AY14" s="47">
        <f t="shared" si="11"/>
        <v>0</v>
      </c>
      <c r="AZ14" s="47">
        <f>INDEX(Direct_Cost_Splits_Network,MATCH($H14,RIN_Asset_Cat_Network,0),MATCH($BE$4,Direct_Cost_Type,0))*$N14*INDEX(Act_Type_Repex_Splits,MATCH($I14,Act_Type_Repex,0),MATCH(AZ$4,Mat_Type,0))*INDEX(Escalators!$I$44:$U$49,MATCH(AZ$4,Escalators!$C$44:$C$49,0),MATCH(AZ$5,Escalators!$I$43:$U$43,0))</f>
        <v>0</v>
      </c>
      <c r="BA14" s="47">
        <f>INDEX(Direct_Cost_Splits_Network,MATCH($H14,RIN_Asset_Cat_Network,0),MATCH($BE$4,Direct_Cost_Type,0))*$N14*INDEX(Act_Type_Repex_Splits,MATCH($I14,Act_Type_Repex,0),MATCH(BA$4,Mat_Type,0))*INDEX(Escalators!$I$44:$U$49,MATCH(BA$4,Escalators!$C$44:$C$49,0),MATCH(BA$5,Escalators!$I$43:$U$43,0))</f>
        <v>0</v>
      </c>
      <c r="BB14" s="47">
        <f>INDEX(Direct_Cost_Splits_Network,MATCH($H14,RIN_Asset_Cat_Network,0),MATCH($BE$4,Direct_Cost_Type,0))*$N14*INDEX(Act_Type_Repex_Splits,MATCH($I14,Act_Type_Repex,0),MATCH(BB$4,Mat_Type,0))*INDEX(Escalators!$I$44:$U$49,MATCH(BB$4,Escalators!$C$44:$C$49,0),MATCH(BB$5,Escalators!$I$43:$U$43,0))</f>
        <v>0</v>
      </c>
      <c r="BC14" s="47">
        <f>INDEX(Direct_Cost_Splits_Network,MATCH($H14,RIN_Asset_Cat_Network,0),MATCH($BE$4,Direct_Cost_Type,0))*$N14*INDEX(Act_Type_Repex_Splits,MATCH($I14,Act_Type_Repex,0),MATCH(BC$4,Mat_Type,0))*INDEX(Escalators!$I$44:$U$49,MATCH(BC$4,Escalators!$C$44:$C$49,0),MATCH(BC$5,Escalators!$I$43:$U$43,0))</f>
        <v>0</v>
      </c>
      <c r="BD14" s="47">
        <f>INDEX(Direct_Cost_Splits_Network,MATCH($H14,RIN_Asset_Cat_Network,0),MATCH($BE$4,Direct_Cost_Type,0))*$N14*INDEX(Act_Type_Repex_Splits,MATCH($I14,Act_Type_Repex,0),MATCH(BD$4,Mat_Type,0))*INDEX(Escalators!$I$44:$U$49,MATCH(BD$4,Escalators!$C$44:$C$49,0),MATCH(BD$5,Escalators!$I$43:$U$43,0))</f>
        <v>0</v>
      </c>
      <c r="BE14" s="47">
        <f t="shared" si="12"/>
        <v>0</v>
      </c>
      <c r="BF14" s="47">
        <f>INDEX(Direct_Cost_Splits_Network,MATCH($H14,RIN_Asset_Cat_Network,0),MATCH($BK$4,Direct_Cost_Type,0))*$O14*INDEX(Act_Type_Repex_Splits,MATCH($I14,Act_Type_Repex,0),MATCH(BF$4,Mat_Type,0))*INDEX(Escalators!$I$44:$U$49,MATCH(BF$4,Escalators!$C$44:$C$49,0),MATCH(BF$5,Escalators!$I$43:$U$43,0))</f>
        <v>0</v>
      </c>
      <c r="BG14" s="47">
        <f>INDEX(Direct_Cost_Splits_Network,MATCH($H14,RIN_Asset_Cat_Network,0),MATCH($BK$4,Direct_Cost_Type,0))*$O14*INDEX(Act_Type_Repex_Splits,MATCH($I14,Act_Type_Repex,0),MATCH(BG$4,Mat_Type,0))*INDEX(Escalators!$I$44:$U$49,MATCH(BG$4,Escalators!$C$44:$C$49,0),MATCH(BG$5,Escalators!$I$43:$U$43,0))</f>
        <v>0</v>
      </c>
      <c r="BH14" s="47">
        <f>INDEX(Direct_Cost_Splits_Network,MATCH($H14,RIN_Asset_Cat_Network,0),MATCH($BK$4,Direct_Cost_Type,0))*$O14*INDEX(Act_Type_Repex_Splits,MATCH($I14,Act_Type_Repex,0),MATCH(BH$4,Mat_Type,0))*INDEX(Escalators!$I$44:$U$49,MATCH(BH$4,Escalators!$C$44:$C$49,0),MATCH(BH$5,Escalators!$I$43:$U$43,0))</f>
        <v>0</v>
      </c>
      <c r="BI14" s="47">
        <f>INDEX(Direct_Cost_Splits_Network,MATCH($H14,RIN_Asset_Cat_Network,0),MATCH($BK$4,Direct_Cost_Type,0))*$O14*INDEX(Act_Type_Repex_Splits,MATCH($I14,Act_Type_Repex,0),MATCH(BI$4,Mat_Type,0))*INDEX(Escalators!$I$44:$U$49,MATCH(BI$4,Escalators!$C$44:$C$49,0),MATCH(BI$5,Escalators!$I$43:$U$43,0))</f>
        <v>0</v>
      </c>
      <c r="BJ14" s="47">
        <f>INDEX(Direct_Cost_Splits_Network,MATCH($H14,RIN_Asset_Cat_Network,0),MATCH($BK$4,Direct_Cost_Type,0))*$O14*INDEX(Act_Type_Repex_Splits,MATCH($I14,Act_Type_Repex,0),MATCH(BJ$4,Mat_Type,0))*INDEX(Escalators!$I$44:$U$49,MATCH(BJ$4,Escalators!$C$44:$C$49,0),MATCH(BJ$5,Escalators!$I$43:$U$43,0))</f>
        <v>0</v>
      </c>
      <c r="BK14" s="47">
        <f t="shared" si="13"/>
        <v>0</v>
      </c>
      <c r="BL14" s="47">
        <f>INDEX(Direct_Cost_Splits_Network,MATCH($H14,RIN_Asset_Cat_Network,0),MATCH($BQ$4,Direct_Cost_Type,0))*$P14*INDEX(Act_Type_Repex_Splits,MATCH($I14,Act_Type_Repex,0),MATCH(BL$4,Mat_Type,0))*INDEX(Escalators!$I$44:$U$49,MATCH(BL$4,Escalators!$C$44:$C$49,0),MATCH(BL$5,Escalators!$I$43:$U$43,0))</f>
        <v>0</v>
      </c>
      <c r="BM14" s="47">
        <f>INDEX(Direct_Cost_Splits_Network,MATCH($H14,RIN_Asset_Cat_Network,0),MATCH($BQ$4,Direct_Cost_Type,0))*$P14*INDEX(Act_Type_Repex_Splits,MATCH($I14,Act_Type_Repex,0),MATCH(BM$4,Mat_Type,0))*INDEX(Escalators!$I$44:$U$49,MATCH(BM$4,Escalators!$C$44:$C$49,0),MATCH(BM$5,Escalators!$I$43:$U$43,0))</f>
        <v>0</v>
      </c>
      <c r="BN14" s="47">
        <f>INDEX(Direct_Cost_Splits_Network,MATCH($H14,RIN_Asset_Cat_Network,0),MATCH($BQ$4,Direct_Cost_Type,0))*$P14*INDEX(Act_Type_Repex_Splits,MATCH($I14,Act_Type_Repex,0),MATCH(BN$4,Mat_Type,0))*INDEX(Escalators!$I$44:$U$49,MATCH(BN$4,Escalators!$C$44:$C$49,0),MATCH(BN$5,Escalators!$I$43:$U$43,0))</f>
        <v>0</v>
      </c>
      <c r="BO14" s="47">
        <f>INDEX(Direct_Cost_Splits_Network,MATCH($H14,RIN_Asset_Cat_Network,0),MATCH($BQ$4,Direct_Cost_Type,0))*$P14*INDEX(Act_Type_Repex_Splits,MATCH($I14,Act_Type_Repex,0),MATCH(BO$4,Mat_Type,0))*INDEX(Escalators!$I$44:$U$49,MATCH(BO$4,Escalators!$C$44:$C$49,0),MATCH(BO$5,Escalators!$I$43:$U$43,0))</f>
        <v>0</v>
      </c>
      <c r="BP14" s="47">
        <f>INDEX(Direct_Cost_Splits_Network,MATCH($H14,RIN_Asset_Cat_Network,0),MATCH($BQ$4,Direct_Cost_Type,0))*$P14*INDEX(Act_Type_Repex_Splits,MATCH($I14,Act_Type_Repex,0),MATCH(BP$4,Mat_Type,0))*INDEX(Escalators!$I$44:$U$49,MATCH(BP$4,Escalators!$C$44:$C$49,0),MATCH(BP$5,Escalators!$I$43:$U$43,0))</f>
        <v>0</v>
      </c>
      <c r="BQ14" s="47">
        <f t="shared" si="14"/>
        <v>0</v>
      </c>
      <c r="BR14" s="47">
        <f>INDEX(Direct_Cost_Splits_Network,MATCH($H14,RIN_Asset_Cat_Network,0),MATCH($BW$4,Direct_Cost_Type,0))*$Q14*INDEX(Act_Type_Repex_Splits,MATCH($I14,Act_Type_Repex,0),MATCH(BR$4,Mat_Type,0))*INDEX(Escalators!$I$44:$U$49,MATCH(BR$4,Escalators!$C$44:$C$49,0),MATCH(BR$5,Escalators!$I$43:$U$43,0))</f>
        <v>0</v>
      </c>
      <c r="BS14" s="47">
        <f>INDEX(Direct_Cost_Splits_Network,MATCH($H14,RIN_Asset_Cat_Network,0),MATCH($BW$4,Direct_Cost_Type,0))*$Q14*INDEX(Act_Type_Repex_Splits,MATCH($I14,Act_Type_Repex,0),MATCH(BS$4,Mat_Type,0))*INDEX(Escalators!$I$44:$U$49,MATCH(BS$4,Escalators!$C$44:$C$49,0),MATCH(BS$5,Escalators!$I$43:$U$43,0))</f>
        <v>0</v>
      </c>
      <c r="BT14" s="47">
        <f>INDEX(Direct_Cost_Splits_Network,MATCH($H14,RIN_Asset_Cat_Network,0),MATCH($BW$4,Direct_Cost_Type,0))*$Q14*INDEX(Act_Type_Repex_Splits,MATCH($I14,Act_Type_Repex,0),MATCH(BT$4,Mat_Type,0))*INDEX(Escalators!$I$44:$U$49,MATCH(BT$4,Escalators!$C$44:$C$49,0),MATCH(BT$5,Escalators!$I$43:$U$43,0))</f>
        <v>0</v>
      </c>
      <c r="BU14" s="47">
        <f>INDEX(Direct_Cost_Splits_Network,MATCH($H14,RIN_Asset_Cat_Network,0),MATCH($BW$4,Direct_Cost_Type,0))*$Q14*INDEX(Act_Type_Repex_Splits,MATCH($I14,Act_Type_Repex,0),MATCH(BU$4,Mat_Type,0))*INDEX(Escalators!$I$44:$U$49,MATCH(BU$4,Escalators!$C$44:$C$49,0),MATCH(BU$5,Escalators!$I$43:$U$43,0))</f>
        <v>0</v>
      </c>
      <c r="BV14" s="47">
        <f>INDEX(Direct_Cost_Splits_Network,MATCH($H14,RIN_Asset_Cat_Network,0),MATCH($BW$4,Direct_Cost_Type,0))*$Q14*INDEX(Act_Type_Repex_Splits,MATCH($I14,Act_Type_Repex,0),MATCH(BV$4,Mat_Type,0))*INDEX(Escalators!$I$44:$U$49,MATCH(BV$4,Escalators!$C$44:$C$49,0),MATCH(BV$5,Escalators!$I$43:$U$43,0))</f>
        <v>0</v>
      </c>
      <c r="BW14" s="47">
        <f t="shared" si="15"/>
        <v>0</v>
      </c>
      <c r="BY14" s="47">
        <f>INDEX(Direct_Cost_Splits_Network,MATCH($H14,RIN_Asset_Cat_Network,0),MATCH($BY$4,Direct_Cost_Type,0))*J14*HLOOKUP(BY$5,Escalators!$I$25:$U$30,6,FALSE)</f>
        <v>0</v>
      </c>
      <c r="BZ14" s="47">
        <f>INDEX(Direct_Cost_Splits_Network,MATCH($H14,RIN_Asset_Cat_Network,0),MATCH($BY$4,Direct_Cost_Type,0))*K14*HLOOKUP(BZ$5,Escalators!$I$25:$U$30,6,FALSE)</f>
        <v>0</v>
      </c>
      <c r="CA14" s="47">
        <f>INDEX(Direct_Cost_Splits_Network,MATCH($H14,RIN_Asset_Cat_Network,0),MATCH($BY$4,Direct_Cost_Type,0))*L14*HLOOKUP(CA$5,Escalators!$I$25:$U$30,6,FALSE)</f>
        <v>0</v>
      </c>
      <c r="CB14" s="47">
        <f>INDEX(Direct_Cost_Splits_Network,MATCH($H14,RIN_Asset_Cat_Network,0),MATCH($BY$4,Direct_Cost_Type,0))*M14*HLOOKUP(CB$5,Escalators!$I$25:$U$30,6,FALSE)</f>
        <v>0</v>
      </c>
      <c r="CC14" s="47">
        <f>INDEX(Direct_Cost_Splits_Network,MATCH($H14,RIN_Asset_Cat_Network,0),MATCH($BY$4,Direct_Cost_Type,0))*N14*HLOOKUP(CC$5,Escalators!$I$25:$U$30,6,FALSE)</f>
        <v>0</v>
      </c>
      <c r="CD14" s="47">
        <f>INDEX(Direct_Cost_Splits_Network,MATCH($H14,RIN_Asset_Cat_Network,0),MATCH($BY$4,Direct_Cost_Type,0))*O14*HLOOKUP(CD$5,Escalators!$I$25:$U$30,6,FALSE)</f>
        <v>0</v>
      </c>
      <c r="CE14" s="47">
        <f>INDEX(Direct_Cost_Splits_Network,MATCH($H14,RIN_Asset_Cat_Network,0),MATCH($BY$4,Direct_Cost_Type,0))*P14*HLOOKUP(CE$5,Escalators!$I$25:$U$30,6,FALSE)</f>
        <v>0</v>
      </c>
      <c r="CF14" s="47">
        <f>INDEX(Direct_Cost_Splits_Network,MATCH($H14,RIN_Asset_Cat_Network,0),MATCH($BY$4,Direct_Cost_Type,0))*Q14*HLOOKUP(CF$5,Escalators!$I$25:$U$30,6,FALSE)</f>
        <v>0</v>
      </c>
      <c r="CH14" s="83">
        <f t="shared" si="16"/>
        <v>0</v>
      </c>
      <c r="CI14" s="83">
        <f t="shared" si="17"/>
        <v>0</v>
      </c>
      <c r="CJ14" s="83">
        <f t="shared" si="18"/>
        <v>0</v>
      </c>
      <c r="CK14" s="83">
        <f t="shared" si="19"/>
        <v>0</v>
      </c>
      <c r="CL14" s="83">
        <f t="shared" si="20"/>
        <v>0</v>
      </c>
      <c r="CM14" s="83">
        <f t="shared" si="21"/>
        <v>0</v>
      </c>
      <c r="CN14" s="83">
        <f t="shared" si="22"/>
        <v>0</v>
      </c>
      <c r="CO14" s="83">
        <f t="shared" si="23"/>
        <v>0</v>
      </c>
      <c r="CQ14" s="47">
        <f t="shared" si="24"/>
        <v>0</v>
      </c>
      <c r="CR14" s="47">
        <f t="shared" si="25"/>
        <v>0</v>
      </c>
      <c r="CS14" s="47">
        <f t="shared" si="26"/>
        <v>0</v>
      </c>
      <c r="CT14" s="47">
        <f t="shared" si="27"/>
        <v>0</v>
      </c>
      <c r="CU14" s="47">
        <f t="shared" si="28"/>
        <v>0</v>
      </c>
      <c r="CV14" s="47">
        <f t="shared" si="29"/>
        <v>0</v>
      </c>
      <c r="CW14" s="47">
        <f t="shared" si="30"/>
        <v>0</v>
      </c>
      <c r="CX14" s="47">
        <f t="shared" si="31"/>
        <v>0</v>
      </c>
      <c r="CZ14" s="47">
        <f t="shared" si="32"/>
        <v>0</v>
      </c>
      <c r="DA14" s="47">
        <f t="shared" si="33"/>
        <v>0</v>
      </c>
      <c r="DB14" s="47">
        <f>DA14*Escalators!$M$17</f>
        <v>0</v>
      </c>
      <c r="DC14" s="47">
        <f>SUMPRODUCT(1+AusNet_Overheads!$K$20:$O$20,CT14:CX14)</f>
        <v>0</v>
      </c>
      <c r="DD14" s="373">
        <f>DC14*Escalators!$M$17</f>
        <v>0</v>
      </c>
      <c r="DE14" s="158"/>
      <c r="DF14" s="158"/>
      <c r="DG14" s="204"/>
      <c r="DH14" s="263"/>
    </row>
    <row r="15" spans="2:112" x14ac:dyDescent="0.3">
      <c r="B15" s="7"/>
      <c r="C15" s="332" t="s">
        <v>579</v>
      </c>
      <c r="D15" s="7"/>
      <c r="E15" s="7" t="s">
        <v>44</v>
      </c>
      <c r="F15" s="7" t="s">
        <v>131</v>
      </c>
      <c r="G15" s="7" t="s">
        <v>150</v>
      </c>
      <c r="H15" s="7" t="s">
        <v>176</v>
      </c>
      <c r="I15" s="7" t="s">
        <v>248</v>
      </c>
      <c r="J15" s="45"/>
      <c r="K15" s="45"/>
      <c r="L15" s="45"/>
      <c r="M15" s="583">
        <v>-821</v>
      </c>
      <c r="N15" s="583">
        <v>-821</v>
      </c>
      <c r="O15" s="583">
        <v>-821</v>
      </c>
      <c r="P15" s="583">
        <v>-821</v>
      </c>
      <c r="Q15" s="583">
        <v>-821</v>
      </c>
      <c r="S15" s="47">
        <f>INDEX(Direct_Cost_Splits_Network,MATCH($H15,RIN_Asset_Cat_Network,0),MATCH($S$4,Direct_Cost_Type,0))*J15*HLOOKUP(S$5,Escalators!$I$25:$U$30,3,FALSE)</f>
        <v>0</v>
      </c>
      <c r="T15" s="47">
        <f>INDEX(Direct_Cost_Splits_Network,MATCH($H15,RIN_Asset_Cat_Network,0),MATCH($S$4,Direct_Cost_Type,0))*K15*HLOOKUP(T$5,Escalators!$I$25:$U$30,3,FALSE)</f>
        <v>0</v>
      </c>
      <c r="U15" s="47">
        <f>INDEX(Direct_Cost_Splits_Network,MATCH($H15,RIN_Asset_Cat_Network,0),MATCH($S$4,Direct_Cost_Type,0))*L15*HLOOKUP(U$5,Escalators!$I$25:$U$30,3,FALSE)</f>
        <v>0</v>
      </c>
      <c r="V15" s="47">
        <f>INDEX(Direct_Cost_Splits_Network,MATCH($H15,RIN_Asset_Cat_Network,0),MATCH($S$4,Direct_Cost_Type,0))*M15*HLOOKUP(V$5,Escalators!$I$25:$U$30,3,FALSE)</f>
        <v>-84.689434649830829</v>
      </c>
      <c r="W15" s="47">
        <f>INDEX(Direct_Cost_Splits_Network,MATCH($H15,RIN_Asset_Cat_Network,0),MATCH($S$4,Direct_Cost_Type,0))*N15*HLOOKUP(W$5,Escalators!$I$25:$U$30,3,FALSE)</f>
        <v>-85.558361990358662</v>
      </c>
      <c r="X15" s="47">
        <f>INDEX(Direct_Cost_Splits_Network,MATCH($H15,RIN_Asset_Cat_Network,0),MATCH($S$4,Direct_Cost_Type,0))*O15*HLOOKUP(X$5,Escalators!$I$25:$U$30,3,FALSE)</f>
        <v>-86.479302354925821</v>
      </c>
      <c r="Y15" s="47">
        <f>INDEX(Direct_Cost_Splits_Network,MATCH($H15,RIN_Asset_Cat_Network,0),MATCH($S$4,Direct_Cost_Type,0))*P15*HLOOKUP(Y$5,Escalators!$I$25:$U$30,3,FALSE)</f>
        <v>-87.296986578246674</v>
      </c>
      <c r="Z15" s="47">
        <f>INDEX(Direct_Cost_Splits_Network,MATCH($H15,RIN_Asset_Cat_Network,0),MATCH($S$4,Direct_Cost_Type,0))*Q15*HLOOKUP(Z$5,Escalators!$I$25:$U$30,3,FALSE)</f>
        <v>-88.06520006013524</v>
      </c>
      <c r="AB15" s="6"/>
      <c r="AC15" s="6"/>
      <c r="AD15" s="6"/>
      <c r="AE15" s="6"/>
      <c r="AF15" s="6"/>
      <c r="AG15" s="47">
        <f t="shared" si="8"/>
        <v>0</v>
      </c>
      <c r="AH15" s="47">
        <f>INDEX(Direct_Cost_Splits_Network,MATCH($H15,RIN_Asset_Cat_Network,0),MATCH($AY$4,Direct_Cost_Type,0))*$K15*INDEX(Act_Type_Repex_Splits,MATCH($I15,Act_Type_Repex,0),MATCH(AH$4,Mat_Type,0))*INDEX(Escalators!$I$44:$U$49,MATCH(AH$4,Escalators!$C$44:$C$49,0),MATCH(AH$5,Escalators!$I$43:$U$43,0))</f>
        <v>0</v>
      </c>
      <c r="AI15" s="47">
        <f>INDEX(Direct_Cost_Splits_Network,MATCH($H15,RIN_Asset_Cat_Network,0),MATCH($AY$4,Direct_Cost_Type,0))*$K15*INDEX(Act_Type_Repex_Splits,MATCH($I15,Act_Type_Repex,0),MATCH(AI$4,Mat_Type,0))*INDEX(Escalators!$I$44:$U$49,MATCH(AI$4,Escalators!$C$44:$C$49,0),MATCH(AI$5,Escalators!$I$43:$U$43,0))</f>
        <v>0</v>
      </c>
      <c r="AJ15" s="47">
        <f>INDEX(Direct_Cost_Splits_Network,MATCH($H15,RIN_Asset_Cat_Network,0),MATCH($AY$4,Direct_Cost_Type,0))*$K15*INDEX(Act_Type_Repex_Splits,MATCH($I15,Act_Type_Repex,0),MATCH(AJ$4,Mat_Type,0))*INDEX(Escalators!$I$44:$U$49,MATCH(AJ$4,Escalators!$C$44:$C$49,0),MATCH(AJ$5,Escalators!$I$43:$U$43,0))</f>
        <v>0</v>
      </c>
      <c r="AK15" s="47">
        <f>INDEX(Direct_Cost_Splits_Network,MATCH($H15,RIN_Asset_Cat_Network,0),MATCH($AY$4,Direct_Cost_Type,0))*$K15*INDEX(Act_Type_Repex_Splits,MATCH($I15,Act_Type_Repex,0),MATCH(AK$4,Mat_Type,0))*INDEX(Escalators!$I$44:$U$49,MATCH(AK$4,Escalators!$C$44:$C$49,0),MATCH(AK$5,Escalators!$I$43:$U$43,0))</f>
        <v>0</v>
      </c>
      <c r="AL15" s="47">
        <f>INDEX(Direct_Cost_Splits_Network,MATCH($H15,RIN_Asset_Cat_Network,0),MATCH($AY$4,Direct_Cost_Type,0))*$K15*INDEX(Act_Type_Repex_Splits,MATCH($I15,Act_Type_Repex,0),MATCH(AL$4,Mat_Type,0))*INDEX(Escalators!$I$44:$U$49,MATCH(AL$4,Escalators!$C$44:$C$49,0),MATCH(AL$5,Escalators!$I$43:$U$43,0))</f>
        <v>0</v>
      </c>
      <c r="AM15" s="47">
        <f t="shared" si="9"/>
        <v>0</v>
      </c>
      <c r="AN15" s="47">
        <f>INDEX(Direct_Cost_Splits_Network,MATCH($H15,RIN_Asset_Cat_Network,0),MATCH($AY$4,Direct_Cost_Type,0))*$L15*INDEX(Act_Type_Repex_Splits,MATCH($I15,Act_Type_Repex,0),MATCH(AN$4,Mat_Type,0))*INDEX(Escalators!$I$44:$U$49,MATCH(AN$4,Escalators!$C$44:$C$49,0),MATCH(AN$5,Escalators!$I$43:$U$43,0))</f>
        <v>0</v>
      </c>
      <c r="AO15" s="47">
        <f>INDEX(Direct_Cost_Splits_Network,MATCH($H15,RIN_Asset_Cat_Network,0),MATCH($AY$4,Direct_Cost_Type,0))*$L15*INDEX(Act_Type_Repex_Splits,MATCH($I15,Act_Type_Repex,0),MATCH(AO$4,Mat_Type,0))*INDEX(Escalators!$I$44:$U$49,MATCH(AO$4,Escalators!$C$44:$C$49,0),MATCH(AO$5,Escalators!$I$43:$U$43,0))</f>
        <v>0</v>
      </c>
      <c r="AP15" s="47">
        <f>INDEX(Direct_Cost_Splits_Network,MATCH($H15,RIN_Asset_Cat_Network,0),MATCH($AY$4,Direct_Cost_Type,0))*$L15*INDEX(Act_Type_Repex_Splits,MATCH($I15,Act_Type_Repex,0),MATCH(AP$4,Mat_Type,0))*INDEX(Escalators!$I$44:$U$49,MATCH(AP$4,Escalators!$C$44:$C$49,0),MATCH(AP$5,Escalators!$I$43:$U$43,0))</f>
        <v>0</v>
      </c>
      <c r="AQ15" s="47">
        <f>INDEX(Direct_Cost_Splits_Network,MATCH($H15,RIN_Asset_Cat_Network,0),MATCH($AY$4,Direct_Cost_Type,0))*$L15*INDEX(Act_Type_Repex_Splits,MATCH($I15,Act_Type_Repex,0),MATCH(AQ$4,Mat_Type,0))*INDEX(Escalators!$I$44:$U$49,MATCH(AQ$4,Escalators!$C$44:$C$49,0),MATCH(AQ$5,Escalators!$I$43:$U$43,0))</f>
        <v>0</v>
      </c>
      <c r="AR15" s="47">
        <f>INDEX(Direct_Cost_Splits_Network,MATCH($H15,RIN_Asset_Cat_Network,0),MATCH($AY$4,Direct_Cost_Type,0))*$L15*INDEX(Act_Type_Repex_Splits,MATCH($I15,Act_Type_Repex,0),MATCH(AR$4,Mat_Type,0))*INDEX(Escalators!$I$44:$U$49,MATCH(AR$4,Escalators!$C$44:$C$49,0),MATCH(AR$5,Escalators!$I$43:$U$43,0))</f>
        <v>0</v>
      </c>
      <c r="AS15" s="47">
        <f t="shared" si="10"/>
        <v>0</v>
      </c>
      <c r="AT15" s="47">
        <f>INDEX(Direct_Cost_Splits_Network,MATCH($H15,RIN_Asset_Cat_Network,0),MATCH($AY$4,Direct_Cost_Type,0))*$M15*INDEX(Act_Type_Repex_Splits,MATCH($I15,Act_Type_Repex,0),MATCH(AT$4,Mat_Type,0))*INDEX(Escalators!$I$44:$U$49,MATCH(AT$4,Escalators!$C$44:$C$49,0),MATCH(AT$5,Escalators!$I$43:$U$43,0))</f>
        <v>-9.0268589435748083</v>
      </c>
      <c r="AU15" s="47">
        <f>INDEX(Direct_Cost_Splits_Network,MATCH($H15,RIN_Asset_Cat_Network,0),MATCH($AY$4,Direct_Cost_Type,0))*$M15*INDEX(Act_Type_Repex_Splits,MATCH($I15,Act_Type_Repex,0),MATCH(AU$4,Mat_Type,0))*INDEX(Escalators!$I$44:$U$49,MATCH(AU$4,Escalators!$C$44:$C$49,0),MATCH(AU$5,Escalators!$I$43:$U$43,0))</f>
        <v>-27.080576830724425</v>
      </c>
      <c r="AV15" s="47">
        <f>INDEX(Direct_Cost_Splits_Network,MATCH($H15,RIN_Asset_Cat_Network,0),MATCH($AY$4,Direct_Cost_Type,0))*$M15*INDEX(Act_Type_Repex_Splits,MATCH($I15,Act_Type_Repex,0),MATCH(AV$4,Mat_Type,0))*INDEX(Escalators!$I$44:$U$49,MATCH(AV$4,Escalators!$C$44:$C$49,0),MATCH(AV$5,Escalators!$I$43:$U$43,0))</f>
        <v>-72.214871548598467</v>
      </c>
      <c r="AW15" s="47">
        <f>INDEX(Direct_Cost_Splits_Network,MATCH($H15,RIN_Asset_Cat_Network,0),MATCH($AY$4,Direct_Cost_Type,0))*$M15*INDEX(Act_Type_Repex_Splits,MATCH($I15,Act_Type_Repex,0),MATCH(AW$4,Mat_Type,0))*INDEX(Escalators!$I$44:$U$49,MATCH(AW$4,Escalators!$C$44:$C$49,0),MATCH(AW$5,Escalators!$I$43:$U$43,0))</f>
        <v>0</v>
      </c>
      <c r="AX15" s="47">
        <f>INDEX(Direct_Cost_Splits_Network,MATCH($H15,RIN_Asset_Cat_Network,0),MATCH($AY$4,Direct_Cost_Type,0))*$M15*INDEX(Act_Type_Repex_Splits,MATCH($I15,Act_Type_Repex,0),MATCH(AX$4,Mat_Type,0))*INDEX(Escalators!$I$44:$U$49,MATCH(AX$4,Escalators!$C$44:$C$49,0),MATCH(AX$5,Escalators!$I$43:$U$43,0))</f>
        <v>-72.214871548598467</v>
      </c>
      <c r="AY15" s="47">
        <f t="shared" si="11"/>
        <v>-180.53717887149617</v>
      </c>
      <c r="AZ15" s="47">
        <f>INDEX(Direct_Cost_Splits_Network,MATCH($H15,RIN_Asset_Cat_Network,0),MATCH($BE$4,Direct_Cost_Type,0))*$N15*INDEX(Act_Type_Repex_Splits,MATCH($I15,Act_Type_Repex,0),MATCH(AZ$4,Mat_Type,0))*INDEX(Escalators!$I$44:$U$49,MATCH(AZ$4,Escalators!$C$44:$C$49,0),MATCH(AZ$5,Escalators!$I$43:$U$43,0))</f>
        <v>-9.0268589435748083</v>
      </c>
      <c r="BA15" s="47">
        <f>INDEX(Direct_Cost_Splits_Network,MATCH($H15,RIN_Asset_Cat_Network,0),MATCH($BE$4,Direct_Cost_Type,0))*$N15*INDEX(Act_Type_Repex_Splits,MATCH($I15,Act_Type_Repex,0),MATCH(BA$4,Mat_Type,0))*INDEX(Escalators!$I$44:$U$49,MATCH(BA$4,Escalators!$C$44:$C$49,0),MATCH(BA$5,Escalators!$I$43:$U$43,0))</f>
        <v>-27.080576830724425</v>
      </c>
      <c r="BB15" s="47">
        <f>INDEX(Direct_Cost_Splits_Network,MATCH($H15,RIN_Asset_Cat_Network,0),MATCH($BE$4,Direct_Cost_Type,0))*$N15*INDEX(Act_Type_Repex_Splits,MATCH($I15,Act_Type_Repex,0),MATCH(BB$4,Mat_Type,0))*INDEX(Escalators!$I$44:$U$49,MATCH(BB$4,Escalators!$C$44:$C$49,0),MATCH(BB$5,Escalators!$I$43:$U$43,0))</f>
        <v>-72.214871548598467</v>
      </c>
      <c r="BC15" s="47">
        <f>INDEX(Direct_Cost_Splits_Network,MATCH($H15,RIN_Asset_Cat_Network,0),MATCH($BE$4,Direct_Cost_Type,0))*$N15*INDEX(Act_Type_Repex_Splits,MATCH($I15,Act_Type_Repex,0),MATCH(BC$4,Mat_Type,0))*INDEX(Escalators!$I$44:$U$49,MATCH(BC$4,Escalators!$C$44:$C$49,0),MATCH(BC$5,Escalators!$I$43:$U$43,0))</f>
        <v>0</v>
      </c>
      <c r="BD15" s="47">
        <f>INDEX(Direct_Cost_Splits_Network,MATCH($H15,RIN_Asset_Cat_Network,0),MATCH($BE$4,Direct_Cost_Type,0))*$N15*INDEX(Act_Type_Repex_Splits,MATCH($I15,Act_Type_Repex,0),MATCH(BD$4,Mat_Type,0))*INDEX(Escalators!$I$44:$U$49,MATCH(BD$4,Escalators!$C$44:$C$49,0),MATCH(BD$5,Escalators!$I$43:$U$43,0))</f>
        <v>-72.214871548598467</v>
      </c>
      <c r="BE15" s="47">
        <f t="shared" si="12"/>
        <v>-180.53717887149617</v>
      </c>
      <c r="BF15" s="47">
        <f>INDEX(Direct_Cost_Splits_Network,MATCH($H15,RIN_Asset_Cat_Network,0),MATCH($BK$4,Direct_Cost_Type,0))*$O15*INDEX(Act_Type_Repex_Splits,MATCH($I15,Act_Type_Repex,0),MATCH(BF$4,Mat_Type,0))*INDEX(Escalators!$I$44:$U$49,MATCH(BF$4,Escalators!$C$44:$C$49,0),MATCH(BF$5,Escalators!$I$43:$U$43,0))</f>
        <v>-9.0268589435748083</v>
      </c>
      <c r="BG15" s="47">
        <f>INDEX(Direct_Cost_Splits_Network,MATCH($H15,RIN_Asset_Cat_Network,0),MATCH($BK$4,Direct_Cost_Type,0))*$O15*INDEX(Act_Type_Repex_Splits,MATCH($I15,Act_Type_Repex,0),MATCH(BG$4,Mat_Type,0))*INDEX(Escalators!$I$44:$U$49,MATCH(BG$4,Escalators!$C$44:$C$49,0),MATCH(BG$5,Escalators!$I$43:$U$43,0))</f>
        <v>-27.080576830724425</v>
      </c>
      <c r="BH15" s="47">
        <f>INDEX(Direct_Cost_Splits_Network,MATCH($H15,RIN_Asset_Cat_Network,0),MATCH($BK$4,Direct_Cost_Type,0))*$O15*INDEX(Act_Type_Repex_Splits,MATCH($I15,Act_Type_Repex,0),MATCH(BH$4,Mat_Type,0))*INDEX(Escalators!$I$44:$U$49,MATCH(BH$4,Escalators!$C$44:$C$49,0),MATCH(BH$5,Escalators!$I$43:$U$43,0))</f>
        <v>-72.214871548598467</v>
      </c>
      <c r="BI15" s="47">
        <f>INDEX(Direct_Cost_Splits_Network,MATCH($H15,RIN_Asset_Cat_Network,0),MATCH($BK$4,Direct_Cost_Type,0))*$O15*INDEX(Act_Type_Repex_Splits,MATCH($I15,Act_Type_Repex,0),MATCH(BI$4,Mat_Type,0))*INDEX(Escalators!$I$44:$U$49,MATCH(BI$4,Escalators!$C$44:$C$49,0),MATCH(BI$5,Escalators!$I$43:$U$43,0))</f>
        <v>0</v>
      </c>
      <c r="BJ15" s="47">
        <f>INDEX(Direct_Cost_Splits_Network,MATCH($H15,RIN_Asset_Cat_Network,0),MATCH($BK$4,Direct_Cost_Type,0))*$O15*INDEX(Act_Type_Repex_Splits,MATCH($I15,Act_Type_Repex,0),MATCH(BJ$4,Mat_Type,0))*INDEX(Escalators!$I$44:$U$49,MATCH(BJ$4,Escalators!$C$44:$C$49,0),MATCH(BJ$5,Escalators!$I$43:$U$43,0))</f>
        <v>-72.214871548598467</v>
      </c>
      <c r="BK15" s="47">
        <f t="shared" si="13"/>
        <v>-180.53717887149617</v>
      </c>
      <c r="BL15" s="47">
        <f>INDEX(Direct_Cost_Splits_Network,MATCH($H15,RIN_Asset_Cat_Network,0),MATCH($BQ$4,Direct_Cost_Type,0))*$P15*INDEX(Act_Type_Repex_Splits,MATCH($I15,Act_Type_Repex,0),MATCH(BL$4,Mat_Type,0))*INDEX(Escalators!$I$44:$U$49,MATCH(BL$4,Escalators!$C$44:$C$49,0),MATCH(BL$5,Escalators!$I$43:$U$43,0))</f>
        <v>-9.0268589435748083</v>
      </c>
      <c r="BM15" s="47">
        <f>INDEX(Direct_Cost_Splits_Network,MATCH($H15,RIN_Asset_Cat_Network,0),MATCH($BQ$4,Direct_Cost_Type,0))*$P15*INDEX(Act_Type_Repex_Splits,MATCH($I15,Act_Type_Repex,0),MATCH(BM$4,Mat_Type,0))*INDEX(Escalators!$I$44:$U$49,MATCH(BM$4,Escalators!$C$44:$C$49,0),MATCH(BM$5,Escalators!$I$43:$U$43,0))</f>
        <v>-27.080576830724425</v>
      </c>
      <c r="BN15" s="47">
        <f>INDEX(Direct_Cost_Splits_Network,MATCH($H15,RIN_Asset_Cat_Network,0),MATCH($BQ$4,Direct_Cost_Type,0))*$P15*INDEX(Act_Type_Repex_Splits,MATCH($I15,Act_Type_Repex,0),MATCH(BN$4,Mat_Type,0))*INDEX(Escalators!$I$44:$U$49,MATCH(BN$4,Escalators!$C$44:$C$49,0),MATCH(BN$5,Escalators!$I$43:$U$43,0))</f>
        <v>-72.214871548598467</v>
      </c>
      <c r="BO15" s="47">
        <f>INDEX(Direct_Cost_Splits_Network,MATCH($H15,RIN_Asset_Cat_Network,0),MATCH($BQ$4,Direct_Cost_Type,0))*$P15*INDEX(Act_Type_Repex_Splits,MATCH($I15,Act_Type_Repex,0),MATCH(BO$4,Mat_Type,0))*INDEX(Escalators!$I$44:$U$49,MATCH(BO$4,Escalators!$C$44:$C$49,0),MATCH(BO$5,Escalators!$I$43:$U$43,0))</f>
        <v>0</v>
      </c>
      <c r="BP15" s="47">
        <f>INDEX(Direct_Cost_Splits_Network,MATCH($H15,RIN_Asset_Cat_Network,0),MATCH($BQ$4,Direct_Cost_Type,0))*$P15*INDEX(Act_Type_Repex_Splits,MATCH($I15,Act_Type_Repex,0),MATCH(BP$4,Mat_Type,0))*INDEX(Escalators!$I$44:$U$49,MATCH(BP$4,Escalators!$C$44:$C$49,0),MATCH(BP$5,Escalators!$I$43:$U$43,0))</f>
        <v>-72.214871548598467</v>
      </c>
      <c r="BQ15" s="47">
        <f t="shared" si="14"/>
        <v>-180.53717887149617</v>
      </c>
      <c r="BR15" s="47">
        <f>INDEX(Direct_Cost_Splits_Network,MATCH($H15,RIN_Asset_Cat_Network,0),MATCH($BW$4,Direct_Cost_Type,0))*$Q15*INDEX(Act_Type_Repex_Splits,MATCH($I15,Act_Type_Repex,0),MATCH(BR$4,Mat_Type,0))*INDEX(Escalators!$I$44:$U$49,MATCH(BR$4,Escalators!$C$44:$C$49,0),MATCH(BR$5,Escalators!$I$43:$U$43,0))</f>
        <v>-9.0268589435748083</v>
      </c>
      <c r="BS15" s="47">
        <f>INDEX(Direct_Cost_Splits_Network,MATCH($H15,RIN_Asset_Cat_Network,0),MATCH($BW$4,Direct_Cost_Type,0))*$Q15*INDEX(Act_Type_Repex_Splits,MATCH($I15,Act_Type_Repex,0),MATCH(BS$4,Mat_Type,0))*INDEX(Escalators!$I$44:$U$49,MATCH(BS$4,Escalators!$C$44:$C$49,0),MATCH(BS$5,Escalators!$I$43:$U$43,0))</f>
        <v>-27.080576830724425</v>
      </c>
      <c r="BT15" s="47">
        <f>INDEX(Direct_Cost_Splits_Network,MATCH($H15,RIN_Asset_Cat_Network,0),MATCH($BW$4,Direct_Cost_Type,0))*$Q15*INDEX(Act_Type_Repex_Splits,MATCH($I15,Act_Type_Repex,0),MATCH(BT$4,Mat_Type,0))*INDEX(Escalators!$I$44:$U$49,MATCH(BT$4,Escalators!$C$44:$C$49,0),MATCH(BT$5,Escalators!$I$43:$U$43,0))</f>
        <v>-72.214871548598467</v>
      </c>
      <c r="BU15" s="47">
        <f>INDEX(Direct_Cost_Splits_Network,MATCH($H15,RIN_Asset_Cat_Network,0),MATCH($BW$4,Direct_Cost_Type,0))*$Q15*INDEX(Act_Type_Repex_Splits,MATCH($I15,Act_Type_Repex,0),MATCH(BU$4,Mat_Type,0))*INDEX(Escalators!$I$44:$U$49,MATCH(BU$4,Escalators!$C$44:$C$49,0),MATCH(BU$5,Escalators!$I$43:$U$43,0))</f>
        <v>0</v>
      </c>
      <c r="BV15" s="47">
        <f>INDEX(Direct_Cost_Splits_Network,MATCH($H15,RIN_Asset_Cat_Network,0),MATCH($BW$4,Direct_Cost_Type,0))*$Q15*INDEX(Act_Type_Repex_Splits,MATCH($I15,Act_Type_Repex,0),MATCH(BV$4,Mat_Type,0))*INDEX(Escalators!$I$44:$U$49,MATCH(BV$4,Escalators!$C$44:$C$49,0),MATCH(BV$5,Escalators!$I$43:$U$43,0))</f>
        <v>-72.214871548598467</v>
      </c>
      <c r="BW15" s="47">
        <f t="shared" si="15"/>
        <v>-180.53717887149617</v>
      </c>
      <c r="BY15" s="47">
        <f>INDEX(Direct_Cost_Splits_Network,MATCH($H15,RIN_Asset_Cat_Network,0),MATCH($BY$4,Direct_Cost_Type,0))*J15*HLOOKUP(BY$5,Escalators!$I$25:$U$30,6,FALSE)</f>
        <v>0</v>
      </c>
      <c r="BZ15" s="47">
        <f>INDEX(Direct_Cost_Splits_Network,MATCH($H15,RIN_Asset_Cat_Network,0),MATCH($BY$4,Direct_Cost_Type,0))*K15*HLOOKUP(BZ$5,Escalators!$I$25:$U$30,6,FALSE)</f>
        <v>0</v>
      </c>
      <c r="CA15" s="47">
        <f>INDEX(Direct_Cost_Splits_Network,MATCH($H15,RIN_Asset_Cat_Network,0),MATCH($BY$4,Direct_Cost_Type,0))*L15*HLOOKUP(CA$5,Escalators!$I$25:$U$30,6,FALSE)</f>
        <v>0</v>
      </c>
      <c r="CB15" s="47">
        <f>INDEX(Direct_Cost_Splits_Network,MATCH($H15,RIN_Asset_Cat_Network,0),MATCH($BY$4,Direct_Cost_Type,0))*M15*HLOOKUP(CB$5,Escalators!$I$25:$U$30,6,FALSE)</f>
        <v>-499.60249475241204</v>
      </c>
      <c r="CC15" s="47">
        <f>INDEX(Direct_Cost_Splits_Network,MATCH($H15,RIN_Asset_Cat_Network,0),MATCH($BY$4,Direct_Cost_Type,0))*N15*HLOOKUP(CC$5,Escalators!$I$25:$U$30,6,FALSE)</f>
        <v>-504.72849741001932</v>
      </c>
      <c r="CD15" s="47">
        <f>INDEX(Direct_Cost_Splits_Network,MATCH($H15,RIN_Asset_Cat_Network,0),MATCH($BY$4,Direct_Cost_Type,0))*O15*HLOOKUP(CD$5,Escalators!$I$25:$U$30,6,FALSE)</f>
        <v>-510.16133688472303</v>
      </c>
      <c r="CE15" s="47">
        <f>INDEX(Direct_Cost_Splits_Network,MATCH($H15,RIN_Asset_Cat_Network,0),MATCH($BY$4,Direct_Cost_Type,0))*P15*HLOOKUP(CE$5,Escalators!$I$25:$U$30,6,FALSE)</f>
        <v>-514.9850445830906</v>
      </c>
      <c r="CF15" s="47">
        <f>INDEX(Direct_Cost_Splits_Network,MATCH($H15,RIN_Asset_Cat_Network,0),MATCH($BY$4,Direct_Cost_Type,0))*Q15*HLOOKUP(CF$5,Escalators!$I$25:$U$30,6,FALSE)</f>
        <v>-519.51691297542186</v>
      </c>
      <c r="CH15" s="83">
        <f t="shared" si="16"/>
        <v>0</v>
      </c>
      <c r="CI15" s="83">
        <f t="shared" si="17"/>
        <v>0</v>
      </c>
      <c r="CJ15" s="83">
        <f t="shared" si="18"/>
        <v>0</v>
      </c>
      <c r="CK15" s="83">
        <f t="shared" si="19"/>
        <v>-74.844947666851084</v>
      </c>
      <c r="CL15" s="83">
        <f t="shared" si="20"/>
        <v>-74.844947666851084</v>
      </c>
      <c r="CM15" s="83">
        <f t="shared" si="21"/>
        <v>-74.844947666851084</v>
      </c>
      <c r="CN15" s="83">
        <f t="shared" si="22"/>
        <v>-74.844947666851084</v>
      </c>
      <c r="CO15" s="83">
        <f t="shared" si="23"/>
        <v>-74.844947666851084</v>
      </c>
      <c r="CQ15" s="47">
        <f t="shared" si="24"/>
        <v>0</v>
      </c>
      <c r="CR15" s="47">
        <f t="shared" si="25"/>
        <v>0</v>
      </c>
      <c r="CS15" s="47">
        <f t="shared" si="26"/>
        <v>0</v>
      </c>
      <c r="CT15" s="47">
        <f t="shared" si="27"/>
        <v>-839.67405594059016</v>
      </c>
      <c r="CU15" s="47">
        <f t="shared" si="28"/>
        <v>-845.6689859387252</v>
      </c>
      <c r="CV15" s="47">
        <f t="shared" si="29"/>
        <v>-852.02276577799614</v>
      </c>
      <c r="CW15" s="47">
        <f t="shared" si="30"/>
        <v>-857.66415769968455</v>
      </c>
      <c r="CX15" s="47">
        <f t="shared" si="31"/>
        <v>-862.96423957390436</v>
      </c>
      <c r="CZ15" s="47">
        <f t="shared" si="32"/>
        <v>-4105</v>
      </c>
      <c r="DA15" s="47">
        <f t="shared" si="33"/>
        <v>-4257.9942049309002</v>
      </c>
      <c r="DB15" s="47">
        <f>DA15*Escalators!$M$17</f>
        <v>-4504.011647882463</v>
      </c>
      <c r="DC15" s="47">
        <f>SUMPRODUCT(1+AusNet_Overheads!$K$20:$O$20,CT15:CX15)</f>
        <v>-4727.260746591819</v>
      </c>
      <c r="DD15" s="373">
        <f>DC15*Escalators!$M$17</f>
        <v>-5000.391367506013</v>
      </c>
      <c r="DE15" s="158"/>
      <c r="DF15" s="158"/>
      <c r="DG15" s="204"/>
      <c r="DH15" s="263"/>
    </row>
    <row r="16" spans="2:112" x14ac:dyDescent="0.3">
      <c r="B16" s="7"/>
      <c r="C16" s="7"/>
      <c r="D16" s="7"/>
      <c r="E16" s="7" t="s">
        <v>44</v>
      </c>
      <c r="F16" s="7" t="s">
        <v>131</v>
      </c>
      <c r="G16" s="7" t="s">
        <v>150</v>
      </c>
      <c r="H16" s="7" t="s">
        <v>176</v>
      </c>
      <c r="I16" s="7" t="s">
        <v>248</v>
      </c>
      <c r="J16" s="45"/>
      <c r="K16" s="45"/>
      <c r="L16" s="45"/>
      <c r="M16" s="45"/>
      <c r="N16" s="45"/>
      <c r="O16" s="45"/>
      <c r="P16" s="45"/>
      <c r="Q16" s="45"/>
      <c r="S16" s="47">
        <f>INDEX(Direct_Cost_Splits_Network,MATCH($H16,RIN_Asset_Cat_Network,0),MATCH($S$4,Direct_Cost_Type,0))*J16*HLOOKUP(S$5,Escalators!$I$25:$U$30,3,FALSE)</f>
        <v>0</v>
      </c>
      <c r="T16" s="47">
        <f>INDEX(Direct_Cost_Splits_Network,MATCH($H16,RIN_Asset_Cat_Network,0),MATCH($S$4,Direct_Cost_Type,0))*K16*HLOOKUP(T$5,Escalators!$I$25:$U$30,3,FALSE)</f>
        <v>0</v>
      </c>
      <c r="U16" s="47">
        <f>INDEX(Direct_Cost_Splits_Network,MATCH($H16,RIN_Asset_Cat_Network,0),MATCH($S$4,Direct_Cost_Type,0))*L16*HLOOKUP(U$5,Escalators!$I$25:$U$30,3,FALSE)</f>
        <v>0</v>
      </c>
      <c r="V16" s="47">
        <f>INDEX(Direct_Cost_Splits_Network,MATCH($H16,RIN_Asset_Cat_Network,0),MATCH($S$4,Direct_Cost_Type,0))*M16*HLOOKUP(V$5,Escalators!$I$25:$U$30,3,FALSE)</f>
        <v>0</v>
      </c>
      <c r="W16" s="47">
        <f>INDEX(Direct_Cost_Splits_Network,MATCH($H16,RIN_Asset_Cat_Network,0),MATCH($S$4,Direct_Cost_Type,0))*N16*HLOOKUP(W$5,Escalators!$I$25:$U$30,3,FALSE)</f>
        <v>0</v>
      </c>
      <c r="X16" s="47">
        <f>INDEX(Direct_Cost_Splits_Network,MATCH($H16,RIN_Asset_Cat_Network,0),MATCH($S$4,Direct_Cost_Type,0))*O16*HLOOKUP(X$5,Escalators!$I$25:$U$30,3,FALSE)</f>
        <v>0</v>
      </c>
      <c r="Y16" s="47">
        <f>INDEX(Direct_Cost_Splits_Network,MATCH($H16,RIN_Asset_Cat_Network,0),MATCH($S$4,Direct_Cost_Type,0))*P16*HLOOKUP(Y$5,Escalators!$I$25:$U$30,3,FALSE)</f>
        <v>0</v>
      </c>
      <c r="Z16" s="47">
        <f>INDEX(Direct_Cost_Splits_Network,MATCH($H16,RIN_Asset_Cat_Network,0),MATCH($S$4,Direct_Cost_Type,0))*Q16*HLOOKUP(Z$5,Escalators!$I$25:$U$30,3,FALSE)</f>
        <v>0</v>
      </c>
      <c r="AB16" s="6">
        <f>INDEX(Direct_Cost_Splits_Network,MATCH($H16,RIN_Asset_Cat_Network,0),MATCH($AG$4,Direct_Cost_Type,0))*$J16*INDEX(Act_Type_Repex_Splits,MATCH($I16,Act_Type_Repex,0),MATCH(AB$4,Mat_Type,0))*INDEX(Escalators!$I$44:$U$49,MATCH(AB$4,Escalators!$C$44:$C$49,0),MATCH(AB$5,Escalators!$I$43:$U$43,0))</f>
        <v>0</v>
      </c>
      <c r="AC16" s="6">
        <f>INDEX(Direct_Cost_Splits_Network,MATCH($H16,RIN_Asset_Cat_Network,0),MATCH($AG$4,Direct_Cost_Type,0))*$J16*INDEX(Act_Type_Repex_Splits,MATCH($I16,Act_Type_Repex,0),MATCH(AC$4,Mat_Type,0))*INDEX(Escalators!$I$44:$U$49,MATCH(AC$4,Escalators!$C$44:$C$49,0),MATCH(AC$5,Escalators!$I$43:$U$43,0))</f>
        <v>0</v>
      </c>
      <c r="AD16" s="6">
        <f>INDEX(Direct_Cost_Splits_Network,MATCH($H16,RIN_Asset_Cat_Network,0),MATCH($AG$4,Direct_Cost_Type,0))*$J16*INDEX(Act_Type_Repex_Splits,MATCH($I16,Act_Type_Repex,0),MATCH(AD$4,Mat_Type,0))*INDEX(Escalators!$I$44:$U$49,MATCH(AD$4,Escalators!$C$44:$C$49,0),MATCH(AD$5,Escalators!$I$43:$U$43,0))</f>
        <v>0</v>
      </c>
      <c r="AE16" s="6">
        <f>INDEX(Direct_Cost_Splits_Network,MATCH($H16,RIN_Asset_Cat_Network,0),MATCH($AG$4,Direct_Cost_Type,0))*$J16*INDEX(Act_Type_Repex_Splits,MATCH($I16,Act_Type_Repex,0),MATCH(AE$4,Mat_Type,0))*INDEX(Escalators!$I$44:$U$49,MATCH(AE$4,Escalators!$C$44:$C$49,0),MATCH(AE$5,Escalators!$I$43:$U$43,0))</f>
        <v>0</v>
      </c>
      <c r="AF16" s="6">
        <f>INDEX(Direct_Cost_Splits_Network,MATCH($H16,RIN_Asset_Cat_Network,0),MATCH($AG$4,Direct_Cost_Type,0))*$J16*INDEX(Act_Type_Repex_Splits,MATCH($I16,Act_Type_Repex,0),MATCH(AF$4,Mat_Type,0))*INDEX(Escalators!$I$44:$U$49,MATCH(AF$4,Escalators!$C$44:$C$49,0),MATCH(AF$5,Escalators!$I$43:$U$43,0))</f>
        <v>0</v>
      </c>
      <c r="AG16" s="47">
        <f t="shared" ref="AG16:AG17" si="34">SUM(AB16:AF16)</f>
        <v>0</v>
      </c>
      <c r="AH16" s="47">
        <f>INDEX(Direct_Cost_Splits_Network,MATCH($H16,RIN_Asset_Cat_Network,0),MATCH($AY$4,Direct_Cost_Type,0))*$K16*INDEX(Act_Type_Repex_Splits,MATCH($I16,Act_Type_Repex,0),MATCH(AH$4,Mat_Type,0))*INDEX(Escalators!$I$44:$U$49,MATCH(AH$4,Escalators!$C$44:$C$49,0),MATCH(AH$5,Escalators!$I$43:$U$43,0))</f>
        <v>0</v>
      </c>
      <c r="AI16" s="47">
        <f>INDEX(Direct_Cost_Splits_Network,MATCH($H16,RIN_Asset_Cat_Network,0),MATCH($AY$4,Direct_Cost_Type,0))*$K16*INDEX(Act_Type_Repex_Splits,MATCH($I16,Act_Type_Repex,0),MATCH(AI$4,Mat_Type,0))*INDEX(Escalators!$I$44:$U$49,MATCH(AI$4,Escalators!$C$44:$C$49,0),MATCH(AI$5,Escalators!$I$43:$U$43,0))</f>
        <v>0</v>
      </c>
      <c r="AJ16" s="47">
        <f>INDEX(Direct_Cost_Splits_Network,MATCH($H16,RIN_Asset_Cat_Network,0),MATCH($AY$4,Direct_Cost_Type,0))*$K16*INDEX(Act_Type_Repex_Splits,MATCH($I16,Act_Type_Repex,0),MATCH(AJ$4,Mat_Type,0))*INDEX(Escalators!$I$44:$U$49,MATCH(AJ$4,Escalators!$C$44:$C$49,0),MATCH(AJ$5,Escalators!$I$43:$U$43,0))</f>
        <v>0</v>
      </c>
      <c r="AK16" s="47">
        <f>INDEX(Direct_Cost_Splits_Network,MATCH($H16,RIN_Asset_Cat_Network,0),MATCH($AY$4,Direct_Cost_Type,0))*$K16*INDEX(Act_Type_Repex_Splits,MATCH($I16,Act_Type_Repex,0),MATCH(AK$4,Mat_Type,0))*INDEX(Escalators!$I$44:$U$49,MATCH(AK$4,Escalators!$C$44:$C$49,0),MATCH(AK$5,Escalators!$I$43:$U$43,0))</f>
        <v>0</v>
      </c>
      <c r="AL16" s="47">
        <f>INDEX(Direct_Cost_Splits_Network,MATCH($H16,RIN_Asset_Cat_Network,0),MATCH($AY$4,Direct_Cost_Type,0))*$K16*INDEX(Act_Type_Repex_Splits,MATCH($I16,Act_Type_Repex,0),MATCH(AL$4,Mat_Type,0))*INDEX(Escalators!$I$44:$U$49,MATCH(AL$4,Escalators!$C$44:$C$49,0),MATCH(AL$5,Escalators!$I$43:$U$43,0))</f>
        <v>0</v>
      </c>
      <c r="AM16" s="47">
        <f t="shared" ref="AM16:AM17" si="35">SUM(AH16:AL16)</f>
        <v>0</v>
      </c>
      <c r="AN16" s="47">
        <f>INDEX(Direct_Cost_Splits_Network,MATCH($H16,RIN_Asset_Cat_Network,0),MATCH($AY$4,Direct_Cost_Type,0))*$L16*INDEX(Act_Type_Repex_Splits,MATCH($I16,Act_Type_Repex,0),MATCH(AN$4,Mat_Type,0))*INDEX(Escalators!$I$44:$U$49,MATCH(AN$4,Escalators!$C$44:$C$49,0),MATCH(AN$5,Escalators!$I$43:$U$43,0))</f>
        <v>0</v>
      </c>
      <c r="AO16" s="47">
        <f>INDEX(Direct_Cost_Splits_Network,MATCH($H16,RIN_Asset_Cat_Network,0),MATCH($AY$4,Direct_Cost_Type,0))*$L16*INDEX(Act_Type_Repex_Splits,MATCH($I16,Act_Type_Repex,0),MATCH(AO$4,Mat_Type,0))*INDEX(Escalators!$I$44:$U$49,MATCH(AO$4,Escalators!$C$44:$C$49,0),MATCH(AO$5,Escalators!$I$43:$U$43,0))</f>
        <v>0</v>
      </c>
      <c r="AP16" s="47">
        <f>INDEX(Direct_Cost_Splits_Network,MATCH($H16,RIN_Asset_Cat_Network,0),MATCH($AY$4,Direct_Cost_Type,0))*$L16*INDEX(Act_Type_Repex_Splits,MATCH($I16,Act_Type_Repex,0),MATCH(AP$4,Mat_Type,0))*INDEX(Escalators!$I$44:$U$49,MATCH(AP$4,Escalators!$C$44:$C$49,0),MATCH(AP$5,Escalators!$I$43:$U$43,0))</f>
        <v>0</v>
      </c>
      <c r="AQ16" s="47">
        <f>INDEX(Direct_Cost_Splits_Network,MATCH($H16,RIN_Asset_Cat_Network,0),MATCH($AY$4,Direct_Cost_Type,0))*$L16*INDEX(Act_Type_Repex_Splits,MATCH($I16,Act_Type_Repex,0),MATCH(AQ$4,Mat_Type,0))*INDEX(Escalators!$I$44:$U$49,MATCH(AQ$4,Escalators!$C$44:$C$49,0),MATCH(AQ$5,Escalators!$I$43:$U$43,0))</f>
        <v>0</v>
      </c>
      <c r="AR16" s="47">
        <f>INDEX(Direct_Cost_Splits_Network,MATCH($H16,RIN_Asset_Cat_Network,0),MATCH($AY$4,Direct_Cost_Type,0))*$L16*INDEX(Act_Type_Repex_Splits,MATCH($I16,Act_Type_Repex,0),MATCH(AR$4,Mat_Type,0))*INDEX(Escalators!$I$44:$U$49,MATCH(AR$4,Escalators!$C$44:$C$49,0),MATCH(AR$5,Escalators!$I$43:$U$43,0))</f>
        <v>0</v>
      </c>
      <c r="AS16" s="47">
        <f t="shared" ref="AS16:AS17" si="36">SUM(AN16:AR16)</f>
        <v>0</v>
      </c>
      <c r="AT16" s="47">
        <f>INDEX(Direct_Cost_Splits_Network,MATCH($H16,RIN_Asset_Cat_Network,0),MATCH($AY$4,Direct_Cost_Type,0))*$M16*INDEX(Act_Type_Repex_Splits,MATCH($I16,Act_Type_Repex,0),MATCH(AT$4,Mat_Type,0))*INDEX(Escalators!$I$44:$U$49,MATCH(AT$4,Escalators!$C$44:$C$49,0),MATCH(AT$5,Escalators!$I$43:$U$43,0))</f>
        <v>0</v>
      </c>
      <c r="AU16" s="47">
        <f>INDEX(Direct_Cost_Splits_Network,MATCH($H16,RIN_Asset_Cat_Network,0),MATCH($AY$4,Direct_Cost_Type,0))*$M16*INDEX(Act_Type_Repex_Splits,MATCH($I16,Act_Type_Repex,0),MATCH(AU$4,Mat_Type,0))*INDEX(Escalators!$I$44:$U$49,MATCH(AU$4,Escalators!$C$44:$C$49,0),MATCH(AU$5,Escalators!$I$43:$U$43,0))</f>
        <v>0</v>
      </c>
      <c r="AV16" s="47">
        <f>INDEX(Direct_Cost_Splits_Network,MATCH($H16,RIN_Asset_Cat_Network,0),MATCH($AY$4,Direct_Cost_Type,0))*$M16*INDEX(Act_Type_Repex_Splits,MATCH($I16,Act_Type_Repex,0),MATCH(AV$4,Mat_Type,0))*INDEX(Escalators!$I$44:$U$49,MATCH(AV$4,Escalators!$C$44:$C$49,0),MATCH(AV$5,Escalators!$I$43:$U$43,0))</f>
        <v>0</v>
      </c>
      <c r="AW16" s="47">
        <f>INDEX(Direct_Cost_Splits_Network,MATCH($H16,RIN_Asset_Cat_Network,0),MATCH($AY$4,Direct_Cost_Type,0))*$M16*INDEX(Act_Type_Repex_Splits,MATCH($I16,Act_Type_Repex,0),MATCH(AW$4,Mat_Type,0))*INDEX(Escalators!$I$44:$U$49,MATCH(AW$4,Escalators!$C$44:$C$49,0),MATCH(AW$5,Escalators!$I$43:$U$43,0))</f>
        <v>0</v>
      </c>
      <c r="AX16" s="47">
        <f>INDEX(Direct_Cost_Splits_Network,MATCH($H16,RIN_Asset_Cat_Network,0),MATCH($AY$4,Direct_Cost_Type,0))*$M16*INDEX(Act_Type_Repex_Splits,MATCH($I16,Act_Type_Repex,0),MATCH(AX$4,Mat_Type,0))*INDEX(Escalators!$I$44:$U$49,MATCH(AX$4,Escalators!$C$44:$C$49,0),MATCH(AX$5,Escalators!$I$43:$U$43,0))</f>
        <v>0</v>
      </c>
      <c r="AY16" s="47">
        <f t="shared" ref="AY16:AY17" si="37">SUM(AT16:AX16)</f>
        <v>0</v>
      </c>
      <c r="AZ16" s="47">
        <f>INDEX(Direct_Cost_Splits_Network,MATCH($H16,RIN_Asset_Cat_Network,0),MATCH($BE$4,Direct_Cost_Type,0))*$N16*INDEX(Act_Type_Repex_Splits,MATCH($I16,Act_Type_Repex,0),MATCH(AZ$4,Mat_Type,0))*INDEX(Escalators!$I$44:$U$49,MATCH(AZ$4,Escalators!$C$44:$C$49,0),MATCH(AZ$5,Escalators!$I$43:$U$43,0))</f>
        <v>0</v>
      </c>
      <c r="BA16" s="47">
        <f>INDEX(Direct_Cost_Splits_Network,MATCH($H16,RIN_Asset_Cat_Network,0),MATCH($BE$4,Direct_Cost_Type,0))*$N16*INDEX(Act_Type_Repex_Splits,MATCH($I16,Act_Type_Repex,0),MATCH(BA$4,Mat_Type,0))*INDEX(Escalators!$I$44:$U$49,MATCH(BA$4,Escalators!$C$44:$C$49,0),MATCH(BA$5,Escalators!$I$43:$U$43,0))</f>
        <v>0</v>
      </c>
      <c r="BB16" s="47">
        <f>INDEX(Direct_Cost_Splits_Network,MATCH($H16,RIN_Asset_Cat_Network,0),MATCH($BE$4,Direct_Cost_Type,0))*$N16*INDEX(Act_Type_Repex_Splits,MATCH($I16,Act_Type_Repex,0),MATCH(BB$4,Mat_Type,0))*INDEX(Escalators!$I$44:$U$49,MATCH(BB$4,Escalators!$C$44:$C$49,0),MATCH(BB$5,Escalators!$I$43:$U$43,0))</f>
        <v>0</v>
      </c>
      <c r="BC16" s="47">
        <f>INDEX(Direct_Cost_Splits_Network,MATCH($H16,RIN_Asset_Cat_Network,0),MATCH($BE$4,Direct_Cost_Type,0))*$N16*INDEX(Act_Type_Repex_Splits,MATCH($I16,Act_Type_Repex,0),MATCH(BC$4,Mat_Type,0))*INDEX(Escalators!$I$44:$U$49,MATCH(BC$4,Escalators!$C$44:$C$49,0),MATCH(BC$5,Escalators!$I$43:$U$43,0))</f>
        <v>0</v>
      </c>
      <c r="BD16" s="47">
        <f>INDEX(Direct_Cost_Splits_Network,MATCH($H16,RIN_Asset_Cat_Network,0),MATCH($BE$4,Direct_Cost_Type,0))*$N16*INDEX(Act_Type_Repex_Splits,MATCH($I16,Act_Type_Repex,0),MATCH(BD$4,Mat_Type,0))*INDEX(Escalators!$I$44:$U$49,MATCH(BD$4,Escalators!$C$44:$C$49,0),MATCH(BD$5,Escalators!$I$43:$U$43,0))</f>
        <v>0</v>
      </c>
      <c r="BE16" s="47">
        <f t="shared" ref="BE16:BE17" si="38">SUM(AZ16:BD16)</f>
        <v>0</v>
      </c>
      <c r="BF16" s="47">
        <f>INDEX(Direct_Cost_Splits_Network,MATCH($H16,RIN_Asset_Cat_Network,0),MATCH($BK$4,Direct_Cost_Type,0))*$O16*INDEX(Act_Type_Repex_Splits,MATCH($I16,Act_Type_Repex,0),MATCH(BF$4,Mat_Type,0))*INDEX(Escalators!$I$44:$U$49,MATCH(BF$4,Escalators!$C$44:$C$49,0),MATCH(BF$5,Escalators!$I$43:$U$43,0))</f>
        <v>0</v>
      </c>
      <c r="BG16" s="47">
        <f>INDEX(Direct_Cost_Splits_Network,MATCH($H16,RIN_Asset_Cat_Network,0),MATCH($BK$4,Direct_Cost_Type,0))*$O16*INDEX(Act_Type_Repex_Splits,MATCH($I16,Act_Type_Repex,0),MATCH(BG$4,Mat_Type,0))*INDEX(Escalators!$I$44:$U$49,MATCH(BG$4,Escalators!$C$44:$C$49,0),MATCH(BG$5,Escalators!$I$43:$U$43,0))</f>
        <v>0</v>
      </c>
      <c r="BH16" s="47">
        <f>INDEX(Direct_Cost_Splits_Network,MATCH($H16,RIN_Asset_Cat_Network,0),MATCH($BK$4,Direct_Cost_Type,0))*$O16*INDEX(Act_Type_Repex_Splits,MATCH($I16,Act_Type_Repex,0),MATCH(BH$4,Mat_Type,0))*INDEX(Escalators!$I$44:$U$49,MATCH(BH$4,Escalators!$C$44:$C$49,0),MATCH(BH$5,Escalators!$I$43:$U$43,0))</f>
        <v>0</v>
      </c>
      <c r="BI16" s="47">
        <f>INDEX(Direct_Cost_Splits_Network,MATCH($H16,RIN_Asset_Cat_Network,0),MATCH($BK$4,Direct_Cost_Type,0))*$O16*INDEX(Act_Type_Repex_Splits,MATCH($I16,Act_Type_Repex,0),MATCH(BI$4,Mat_Type,0))*INDEX(Escalators!$I$44:$U$49,MATCH(BI$4,Escalators!$C$44:$C$49,0),MATCH(BI$5,Escalators!$I$43:$U$43,0))</f>
        <v>0</v>
      </c>
      <c r="BJ16" s="47">
        <f>INDEX(Direct_Cost_Splits_Network,MATCH($H16,RIN_Asset_Cat_Network,0),MATCH($BK$4,Direct_Cost_Type,0))*$O16*INDEX(Act_Type_Repex_Splits,MATCH($I16,Act_Type_Repex,0),MATCH(BJ$4,Mat_Type,0))*INDEX(Escalators!$I$44:$U$49,MATCH(BJ$4,Escalators!$C$44:$C$49,0),MATCH(BJ$5,Escalators!$I$43:$U$43,0))</f>
        <v>0</v>
      </c>
      <c r="BK16" s="47">
        <f t="shared" ref="BK16:BK17" si="39">SUM(BF16:BJ16)</f>
        <v>0</v>
      </c>
      <c r="BL16" s="47">
        <f>INDEX(Direct_Cost_Splits_Network,MATCH($H16,RIN_Asset_Cat_Network,0),MATCH($BQ$4,Direct_Cost_Type,0))*$P16*INDEX(Act_Type_Repex_Splits,MATCH($I16,Act_Type_Repex,0),MATCH(BL$4,Mat_Type,0))*INDEX(Escalators!$I$44:$U$49,MATCH(BL$4,Escalators!$C$44:$C$49,0),MATCH(BL$5,Escalators!$I$43:$U$43,0))</f>
        <v>0</v>
      </c>
      <c r="BM16" s="47">
        <f>INDEX(Direct_Cost_Splits_Network,MATCH($H16,RIN_Asset_Cat_Network,0),MATCH($BQ$4,Direct_Cost_Type,0))*$P16*INDEX(Act_Type_Repex_Splits,MATCH($I16,Act_Type_Repex,0),MATCH(BM$4,Mat_Type,0))*INDEX(Escalators!$I$44:$U$49,MATCH(BM$4,Escalators!$C$44:$C$49,0),MATCH(BM$5,Escalators!$I$43:$U$43,0))</f>
        <v>0</v>
      </c>
      <c r="BN16" s="47">
        <f>INDEX(Direct_Cost_Splits_Network,MATCH($H16,RIN_Asset_Cat_Network,0),MATCH($BQ$4,Direct_Cost_Type,0))*$P16*INDEX(Act_Type_Repex_Splits,MATCH($I16,Act_Type_Repex,0),MATCH(BN$4,Mat_Type,0))*INDEX(Escalators!$I$44:$U$49,MATCH(BN$4,Escalators!$C$44:$C$49,0),MATCH(BN$5,Escalators!$I$43:$U$43,0))</f>
        <v>0</v>
      </c>
      <c r="BO16" s="47">
        <f>INDEX(Direct_Cost_Splits_Network,MATCH($H16,RIN_Asset_Cat_Network,0),MATCH($BQ$4,Direct_Cost_Type,0))*$P16*INDEX(Act_Type_Repex_Splits,MATCH($I16,Act_Type_Repex,0),MATCH(BO$4,Mat_Type,0))*INDEX(Escalators!$I$44:$U$49,MATCH(BO$4,Escalators!$C$44:$C$49,0),MATCH(BO$5,Escalators!$I$43:$U$43,0))</f>
        <v>0</v>
      </c>
      <c r="BP16" s="47">
        <f>INDEX(Direct_Cost_Splits_Network,MATCH($H16,RIN_Asset_Cat_Network,0),MATCH($BQ$4,Direct_Cost_Type,0))*$P16*INDEX(Act_Type_Repex_Splits,MATCH($I16,Act_Type_Repex,0),MATCH(BP$4,Mat_Type,0))*INDEX(Escalators!$I$44:$U$49,MATCH(BP$4,Escalators!$C$44:$C$49,0),MATCH(BP$5,Escalators!$I$43:$U$43,0))</f>
        <v>0</v>
      </c>
      <c r="BQ16" s="47">
        <f t="shared" ref="BQ16:BQ17" si="40">SUM(BL16:BP16)</f>
        <v>0</v>
      </c>
      <c r="BR16" s="47">
        <f>INDEX(Direct_Cost_Splits_Network,MATCH($H16,RIN_Asset_Cat_Network,0),MATCH($BW$4,Direct_Cost_Type,0))*$Q16*INDEX(Act_Type_Repex_Splits,MATCH($I16,Act_Type_Repex,0),MATCH(BR$4,Mat_Type,0))*INDEX(Escalators!$I$44:$U$49,MATCH(BR$4,Escalators!$C$44:$C$49,0),MATCH(BR$5,Escalators!$I$43:$U$43,0))</f>
        <v>0</v>
      </c>
      <c r="BS16" s="47">
        <f>INDEX(Direct_Cost_Splits_Network,MATCH($H16,RIN_Asset_Cat_Network,0),MATCH($BW$4,Direct_Cost_Type,0))*$Q16*INDEX(Act_Type_Repex_Splits,MATCH($I16,Act_Type_Repex,0),MATCH(BS$4,Mat_Type,0))*INDEX(Escalators!$I$44:$U$49,MATCH(BS$4,Escalators!$C$44:$C$49,0),MATCH(BS$5,Escalators!$I$43:$U$43,0))</f>
        <v>0</v>
      </c>
      <c r="BT16" s="47">
        <f>INDEX(Direct_Cost_Splits_Network,MATCH($H16,RIN_Asset_Cat_Network,0),MATCH($BW$4,Direct_Cost_Type,0))*$Q16*INDEX(Act_Type_Repex_Splits,MATCH($I16,Act_Type_Repex,0),MATCH(BT$4,Mat_Type,0))*INDEX(Escalators!$I$44:$U$49,MATCH(BT$4,Escalators!$C$44:$C$49,0),MATCH(BT$5,Escalators!$I$43:$U$43,0))</f>
        <v>0</v>
      </c>
      <c r="BU16" s="47">
        <f>INDEX(Direct_Cost_Splits_Network,MATCH($H16,RIN_Asset_Cat_Network,0),MATCH($BW$4,Direct_Cost_Type,0))*$Q16*INDEX(Act_Type_Repex_Splits,MATCH($I16,Act_Type_Repex,0),MATCH(BU$4,Mat_Type,0))*INDEX(Escalators!$I$44:$U$49,MATCH(BU$4,Escalators!$C$44:$C$49,0),MATCH(BU$5,Escalators!$I$43:$U$43,0))</f>
        <v>0</v>
      </c>
      <c r="BV16" s="47">
        <f>INDEX(Direct_Cost_Splits_Network,MATCH($H16,RIN_Asset_Cat_Network,0),MATCH($BW$4,Direct_Cost_Type,0))*$Q16*INDEX(Act_Type_Repex_Splits,MATCH($I16,Act_Type_Repex,0),MATCH(BV$4,Mat_Type,0))*INDEX(Escalators!$I$44:$U$49,MATCH(BV$4,Escalators!$C$44:$C$49,0),MATCH(BV$5,Escalators!$I$43:$U$43,0))</f>
        <v>0</v>
      </c>
      <c r="BW16" s="47">
        <f t="shared" ref="BW16:BW17" si="41">SUM(BR16:BV16)</f>
        <v>0</v>
      </c>
      <c r="BY16" s="47">
        <f>INDEX(Direct_Cost_Splits_Network,MATCH($H16,RIN_Asset_Cat_Network,0),MATCH($BY$4,Direct_Cost_Type,0))*J16*HLOOKUP(BY$5,Escalators!$I$25:$U$30,6,FALSE)</f>
        <v>0</v>
      </c>
      <c r="BZ16" s="47">
        <f>INDEX(Direct_Cost_Splits_Network,MATCH($H16,RIN_Asset_Cat_Network,0),MATCH($BY$4,Direct_Cost_Type,0))*K16*HLOOKUP(BZ$5,Escalators!$I$25:$U$30,6,FALSE)</f>
        <v>0</v>
      </c>
      <c r="CA16" s="47">
        <f>INDEX(Direct_Cost_Splits_Network,MATCH($H16,RIN_Asset_Cat_Network,0),MATCH($BY$4,Direct_Cost_Type,0))*L16*HLOOKUP(CA$5,Escalators!$I$25:$U$30,6,FALSE)</f>
        <v>0</v>
      </c>
      <c r="CB16" s="47">
        <f>INDEX(Direct_Cost_Splits_Network,MATCH($H16,RIN_Asset_Cat_Network,0),MATCH($BY$4,Direct_Cost_Type,0))*M16*HLOOKUP(CB$5,Escalators!$I$25:$U$30,6,FALSE)</f>
        <v>0</v>
      </c>
      <c r="CC16" s="47">
        <f>INDEX(Direct_Cost_Splits_Network,MATCH($H16,RIN_Asset_Cat_Network,0),MATCH($BY$4,Direct_Cost_Type,0))*N16*HLOOKUP(CC$5,Escalators!$I$25:$U$30,6,FALSE)</f>
        <v>0</v>
      </c>
      <c r="CD16" s="47">
        <f>INDEX(Direct_Cost_Splits_Network,MATCH($H16,RIN_Asset_Cat_Network,0),MATCH($BY$4,Direct_Cost_Type,0))*O16*HLOOKUP(CD$5,Escalators!$I$25:$U$30,6,FALSE)</f>
        <v>0</v>
      </c>
      <c r="CE16" s="47">
        <f>INDEX(Direct_Cost_Splits_Network,MATCH($H16,RIN_Asset_Cat_Network,0),MATCH($BY$4,Direct_Cost_Type,0))*P16*HLOOKUP(CE$5,Escalators!$I$25:$U$30,6,FALSE)</f>
        <v>0</v>
      </c>
      <c r="CF16" s="47">
        <f>INDEX(Direct_Cost_Splits_Network,MATCH($H16,RIN_Asset_Cat_Network,0),MATCH($BY$4,Direct_Cost_Type,0))*Q16*HLOOKUP(CF$5,Escalators!$I$25:$U$30,6,FALSE)</f>
        <v>0</v>
      </c>
      <c r="CH16" s="83">
        <f t="shared" ref="CH16:CH17" si="42">INDEX(Direct_Cost_Splits_Network,MATCH($H16,RIN_Asset_Cat_Network,0),MATCH($CH$4,Direct_Cost_Type,0))*J16</f>
        <v>0</v>
      </c>
      <c r="CI16" s="83">
        <f t="shared" ref="CI16:CJ17" si="43">INDEX(Direct_Cost_Splits_Network,MATCH($H16,RIN_Asset_Cat_Network,0),MATCH($CH$4,Direct_Cost_Type,0))*K16</f>
        <v>0</v>
      </c>
      <c r="CJ16" s="83">
        <f t="shared" si="43"/>
        <v>0</v>
      </c>
      <c r="CK16" s="83">
        <f t="shared" ref="CK16:CK17" si="44">INDEX(Direct_Cost_Splits_Network,MATCH($H16,RIN_Asset_Cat_Network,0),MATCH($CH$4,Direct_Cost_Type,0))*M16</f>
        <v>0</v>
      </c>
      <c r="CL16" s="83">
        <f t="shared" ref="CL16:CL17" si="45">INDEX(Direct_Cost_Splits_Network,MATCH($H16,RIN_Asset_Cat_Network,0),MATCH($CH$4,Direct_Cost_Type,0))*N16</f>
        <v>0</v>
      </c>
      <c r="CM16" s="83">
        <f t="shared" ref="CM16:CM17" si="46">INDEX(Direct_Cost_Splits_Network,MATCH($H16,RIN_Asset_Cat_Network,0),MATCH($CH$4,Direct_Cost_Type,0))*O16</f>
        <v>0</v>
      </c>
      <c r="CN16" s="83">
        <f t="shared" ref="CN16:CN17" si="47">INDEX(Direct_Cost_Splits_Network,MATCH($H16,RIN_Asset_Cat_Network,0),MATCH($CH$4,Direct_Cost_Type,0))*P16</f>
        <v>0</v>
      </c>
      <c r="CO16" s="83">
        <f t="shared" ref="CO16:CO17" si="48">INDEX(Direct_Cost_Splits_Network,MATCH($H16,RIN_Asset_Cat_Network,0),MATCH($CH$4,Direct_Cost_Type,0))*Q16</f>
        <v>0</v>
      </c>
      <c r="CQ16" s="47">
        <f t="shared" ref="CQ16:CQ36" si="49">S16+AG16+BY16+CH16</f>
        <v>0</v>
      </c>
      <c r="CR16" s="47">
        <f t="shared" ref="CR16:CR36" si="50">T16+AM16+BZ16+CI16</f>
        <v>0</v>
      </c>
      <c r="CS16" s="47">
        <f t="shared" ref="CS16:CS36" si="51">U16+AS16+CA16+CJ16</f>
        <v>0</v>
      </c>
      <c r="CT16" s="47">
        <f t="shared" ref="CT16:CT36" si="52">V16+AY16+CB16+CK16</f>
        <v>0</v>
      </c>
      <c r="CU16" s="47">
        <f t="shared" ref="CU16:CU36" si="53">W16+BE16+CC16+CL16</f>
        <v>0</v>
      </c>
      <c r="CV16" s="47">
        <f t="shared" ref="CV16:CV36" si="54">X16+BK16+CD16+CM16</f>
        <v>0</v>
      </c>
      <c r="CW16" s="47">
        <f t="shared" ref="CW16:CW36" si="55">Y16+BQ16+CE16+CN16</f>
        <v>0</v>
      </c>
      <c r="CX16" s="47">
        <f t="shared" ref="CX16:CX36" si="56">Z16+BW16+CF16+CO16</f>
        <v>0</v>
      </c>
      <c r="CZ16" s="47">
        <f t="shared" ref="CZ16:CZ21" si="57">SUM(M16:Q16)</f>
        <v>0</v>
      </c>
      <c r="DA16" s="47">
        <f t="shared" ref="DA16:DA21" si="58">SUM(CT16:CX16)</f>
        <v>0</v>
      </c>
      <c r="DB16" s="47">
        <f>DA16*Escalators!$M$17</f>
        <v>0</v>
      </c>
      <c r="DC16" s="47">
        <f>SUMPRODUCT(1+AusNet_Overheads!$K$20:$O$20,CT16:CX16)</f>
        <v>0</v>
      </c>
      <c r="DD16" s="373">
        <f>DC16*Escalators!$M$17</f>
        <v>0</v>
      </c>
      <c r="DE16" s="158"/>
      <c r="DF16" s="158"/>
      <c r="DG16" s="204"/>
      <c r="DH16" s="263"/>
    </row>
    <row r="17" spans="2:112" x14ac:dyDescent="0.3">
      <c r="B17" s="7"/>
      <c r="C17" s="7"/>
      <c r="D17" s="7"/>
      <c r="E17" s="7" t="s">
        <v>44</v>
      </c>
      <c r="F17" s="7" t="s">
        <v>131</v>
      </c>
      <c r="G17" s="7" t="s">
        <v>150</v>
      </c>
      <c r="H17" s="7" t="s">
        <v>176</v>
      </c>
      <c r="I17" s="7" t="s">
        <v>248</v>
      </c>
      <c r="J17" s="45"/>
      <c r="K17" s="45"/>
      <c r="L17" s="45"/>
      <c r="M17" s="45"/>
      <c r="N17" s="45"/>
      <c r="O17" s="45"/>
      <c r="P17" s="45"/>
      <c r="Q17" s="45"/>
      <c r="S17" s="47">
        <f>INDEX(Direct_Cost_Splits_Network,MATCH($H17,RIN_Asset_Cat_Network,0),MATCH($S$4,Direct_Cost_Type,0))*J17*HLOOKUP(S$5,Escalators!$I$25:$U$30,3,FALSE)</f>
        <v>0</v>
      </c>
      <c r="T17" s="47">
        <f>INDEX(Direct_Cost_Splits_Network,MATCH($H17,RIN_Asset_Cat_Network,0),MATCH($S$4,Direct_Cost_Type,0))*K17*HLOOKUP(T$5,Escalators!$I$25:$U$30,3,FALSE)</f>
        <v>0</v>
      </c>
      <c r="U17" s="47">
        <f>INDEX(Direct_Cost_Splits_Network,MATCH($H17,RIN_Asset_Cat_Network,0),MATCH($S$4,Direct_Cost_Type,0))*L17*HLOOKUP(U$5,Escalators!$I$25:$U$30,3,FALSE)</f>
        <v>0</v>
      </c>
      <c r="V17" s="47">
        <f>INDEX(Direct_Cost_Splits_Network,MATCH($H17,RIN_Asset_Cat_Network,0),MATCH($S$4,Direct_Cost_Type,0))*M17*HLOOKUP(V$5,Escalators!$I$25:$U$30,3,FALSE)</f>
        <v>0</v>
      </c>
      <c r="W17" s="47">
        <f>INDEX(Direct_Cost_Splits_Network,MATCH($H17,RIN_Asset_Cat_Network,0),MATCH($S$4,Direct_Cost_Type,0))*N17*HLOOKUP(W$5,Escalators!$I$25:$U$30,3,FALSE)</f>
        <v>0</v>
      </c>
      <c r="X17" s="47">
        <f>INDEX(Direct_Cost_Splits_Network,MATCH($H17,RIN_Asset_Cat_Network,0),MATCH($S$4,Direct_Cost_Type,0))*O17*HLOOKUP(X$5,Escalators!$I$25:$U$30,3,FALSE)</f>
        <v>0</v>
      </c>
      <c r="Y17" s="47">
        <f>INDEX(Direct_Cost_Splits_Network,MATCH($H17,RIN_Asset_Cat_Network,0),MATCH($S$4,Direct_Cost_Type,0))*P17*HLOOKUP(Y$5,Escalators!$I$25:$U$30,3,FALSE)</f>
        <v>0</v>
      </c>
      <c r="Z17" s="47">
        <f>INDEX(Direct_Cost_Splits_Network,MATCH($H17,RIN_Asset_Cat_Network,0),MATCH($S$4,Direct_Cost_Type,0))*Q17*HLOOKUP(Z$5,Escalators!$I$25:$U$30,3,FALSE)</f>
        <v>0</v>
      </c>
      <c r="AB17" s="6">
        <f>INDEX(Direct_Cost_Splits_Network,MATCH($H17,RIN_Asset_Cat_Network,0),MATCH($AG$4,Direct_Cost_Type,0))*$J17*INDEX(Act_Type_Repex_Splits,MATCH($I17,Act_Type_Repex,0),MATCH(AB$4,Mat_Type,0))*INDEX(Escalators!$I$44:$U$49,MATCH(AB$4,Escalators!$C$44:$C$49,0),MATCH(AB$5,Escalators!$I$43:$U$43,0))</f>
        <v>0</v>
      </c>
      <c r="AC17" s="6">
        <f>INDEX(Direct_Cost_Splits_Network,MATCH($H17,RIN_Asset_Cat_Network,0),MATCH($AG$4,Direct_Cost_Type,0))*$J17*INDEX(Act_Type_Repex_Splits,MATCH($I17,Act_Type_Repex,0),MATCH(AC$4,Mat_Type,0))*INDEX(Escalators!$I$44:$U$49,MATCH(AC$4,Escalators!$C$44:$C$49,0),MATCH(AC$5,Escalators!$I$43:$U$43,0))</f>
        <v>0</v>
      </c>
      <c r="AD17" s="6">
        <f>INDEX(Direct_Cost_Splits_Network,MATCH($H17,RIN_Asset_Cat_Network,0),MATCH($AG$4,Direct_Cost_Type,0))*$J17*INDEX(Act_Type_Repex_Splits,MATCH($I17,Act_Type_Repex,0),MATCH(AD$4,Mat_Type,0))*INDEX(Escalators!$I$44:$U$49,MATCH(AD$4,Escalators!$C$44:$C$49,0),MATCH(AD$5,Escalators!$I$43:$U$43,0))</f>
        <v>0</v>
      </c>
      <c r="AE17" s="6">
        <f>INDEX(Direct_Cost_Splits_Network,MATCH($H17,RIN_Asset_Cat_Network,0),MATCH($AG$4,Direct_Cost_Type,0))*$J17*INDEX(Act_Type_Repex_Splits,MATCH($I17,Act_Type_Repex,0),MATCH(AE$4,Mat_Type,0))*INDEX(Escalators!$I$44:$U$49,MATCH(AE$4,Escalators!$C$44:$C$49,0),MATCH(AE$5,Escalators!$I$43:$U$43,0))</f>
        <v>0</v>
      </c>
      <c r="AF17" s="6">
        <f>INDEX(Direct_Cost_Splits_Network,MATCH($H17,RIN_Asset_Cat_Network,0),MATCH($AG$4,Direct_Cost_Type,0))*$J17*INDEX(Act_Type_Repex_Splits,MATCH($I17,Act_Type_Repex,0),MATCH(AF$4,Mat_Type,0))*INDEX(Escalators!$I$44:$U$49,MATCH(AF$4,Escalators!$C$44:$C$49,0),MATCH(AF$5,Escalators!$I$43:$U$43,0))</f>
        <v>0</v>
      </c>
      <c r="AG17" s="47">
        <f t="shared" si="34"/>
        <v>0</v>
      </c>
      <c r="AH17" s="47">
        <f>INDEX(Direct_Cost_Splits_Network,MATCH($H17,RIN_Asset_Cat_Network,0),MATCH($AY$4,Direct_Cost_Type,0))*$K17*INDEX(Act_Type_Repex_Splits,MATCH($I17,Act_Type_Repex,0),MATCH(AH$4,Mat_Type,0))*INDEX(Escalators!$I$44:$U$49,MATCH(AH$4,Escalators!$C$44:$C$49,0),MATCH(AH$5,Escalators!$I$43:$U$43,0))</f>
        <v>0</v>
      </c>
      <c r="AI17" s="47">
        <f>INDEX(Direct_Cost_Splits_Network,MATCH($H17,RIN_Asset_Cat_Network,0),MATCH($AY$4,Direct_Cost_Type,0))*$K17*INDEX(Act_Type_Repex_Splits,MATCH($I17,Act_Type_Repex,0),MATCH(AI$4,Mat_Type,0))*INDEX(Escalators!$I$44:$U$49,MATCH(AI$4,Escalators!$C$44:$C$49,0),MATCH(AI$5,Escalators!$I$43:$U$43,0))</f>
        <v>0</v>
      </c>
      <c r="AJ17" s="47">
        <f>INDEX(Direct_Cost_Splits_Network,MATCH($H17,RIN_Asset_Cat_Network,0),MATCH($AY$4,Direct_Cost_Type,0))*$K17*INDEX(Act_Type_Repex_Splits,MATCH($I17,Act_Type_Repex,0),MATCH(AJ$4,Mat_Type,0))*INDEX(Escalators!$I$44:$U$49,MATCH(AJ$4,Escalators!$C$44:$C$49,0),MATCH(AJ$5,Escalators!$I$43:$U$43,0))</f>
        <v>0</v>
      </c>
      <c r="AK17" s="47">
        <f>INDEX(Direct_Cost_Splits_Network,MATCH($H17,RIN_Asset_Cat_Network,0),MATCH($AY$4,Direct_Cost_Type,0))*$K17*INDEX(Act_Type_Repex_Splits,MATCH($I17,Act_Type_Repex,0),MATCH(AK$4,Mat_Type,0))*INDEX(Escalators!$I$44:$U$49,MATCH(AK$4,Escalators!$C$44:$C$49,0),MATCH(AK$5,Escalators!$I$43:$U$43,0))</f>
        <v>0</v>
      </c>
      <c r="AL17" s="47">
        <f>INDEX(Direct_Cost_Splits_Network,MATCH($H17,RIN_Asset_Cat_Network,0),MATCH($AY$4,Direct_Cost_Type,0))*$K17*INDEX(Act_Type_Repex_Splits,MATCH($I17,Act_Type_Repex,0),MATCH(AL$4,Mat_Type,0))*INDEX(Escalators!$I$44:$U$49,MATCH(AL$4,Escalators!$C$44:$C$49,0),MATCH(AL$5,Escalators!$I$43:$U$43,0))</f>
        <v>0</v>
      </c>
      <c r="AM17" s="47">
        <f t="shared" si="35"/>
        <v>0</v>
      </c>
      <c r="AN17" s="47">
        <f>INDEX(Direct_Cost_Splits_Network,MATCH($H17,RIN_Asset_Cat_Network,0),MATCH($AY$4,Direct_Cost_Type,0))*$L17*INDEX(Act_Type_Repex_Splits,MATCH($I17,Act_Type_Repex,0),MATCH(AN$4,Mat_Type,0))*INDEX(Escalators!$I$44:$U$49,MATCH(AN$4,Escalators!$C$44:$C$49,0),MATCH(AN$5,Escalators!$I$43:$U$43,0))</f>
        <v>0</v>
      </c>
      <c r="AO17" s="47">
        <f>INDEX(Direct_Cost_Splits_Network,MATCH($H17,RIN_Asset_Cat_Network,0),MATCH($AY$4,Direct_Cost_Type,0))*$L17*INDEX(Act_Type_Repex_Splits,MATCH($I17,Act_Type_Repex,0),MATCH(AO$4,Mat_Type,0))*INDEX(Escalators!$I$44:$U$49,MATCH(AO$4,Escalators!$C$44:$C$49,0),MATCH(AO$5,Escalators!$I$43:$U$43,0))</f>
        <v>0</v>
      </c>
      <c r="AP17" s="47">
        <f>INDEX(Direct_Cost_Splits_Network,MATCH($H17,RIN_Asset_Cat_Network,0),MATCH($AY$4,Direct_Cost_Type,0))*$L17*INDEX(Act_Type_Repex_Splits,MATCH($I17,Act_Type_Repex,0),MATCH(AP$4,Mat_Type,0))*INDEX(Escalators!$I$44:$U$49,MATCH(AP$4,Escalators!$C$44:$C$49,0),MATCH(AP$5,Escalators!$I$43:$U$43,0))</f>
        <v>0</v>
      </c>
      <c r="AQ17" s="47">
        <f>INDEX(Direct_Cost_Splits_Network,MATCH($H17,RIN_Asset_Cat_Network,0),MATCH($AY$4,Direct_Cost_Type,0))*$L17*INDEX(Act_Type_Repex_Splits,MATCH($I17,Act_Type_Repex,0),MATCH(AQ$4,Mat_Type,0))*INDEX(Escalators!$I$44:$U$49,MATCH(AQ$4,Escalators!$C$44:$C$49,0),MATCH(AQ$5,Escalators!$I$43:$U$43,0))</f>
        <v>0</v>
      </c>
      <c r="AR17" s="47">
        <f>INDEX(Direct_Cost_Splits_Network,MATCH($H17,RIN_Asset_Cat_Network,0),MATCH($AY$4,Direct_Cost_Type,0))*$L17*INDEX(Act_Type_Repex_Splits,MATCH($I17,Act_Type_Repex,0),MATCH(AR$4,Mat_Type,0))*INDEX(Escalators!$I$44:$U$49,MATCH(AR$4,Escalators!$C$44:$C$49,0),MATCH(AR$5,Escalators!$I$43:$U$43,0))</f>
        <v>0</v>
      </c>
      <c r="AS17" s="47">
        <f t="shared" si="36"/>
        <v>0</v>
      </c>
      <c r="AT17" s="47">
        <f>INDEX(Direct_Cost_Splits_Network,MATCH($H17,RIN_Asset_Cat_Network,0),MATCH($AY$4,Direct_Cost_Type,0))*$M17*INDEX(Act_Type_Repex_Splits,MATCH($I17,Act_Type_Repex,0),MATCH(AT$4,Mat_Type,0))*INDEX(Escalators!$I$44:$U$49,MATCH(AT$4,Escalators!$C$44:$C$49,0),MATCH(AT$5,Escalators!$I$43:$U$43,0))</f>
        <v>0</v>
      </c>
      <c r="AU17" s="47">
        <f>INDEX(Direct_Cost_Splits_Network,MATCH($H17,RIN_Asset_Cat_Network,0),MATCH($AY$4,Direct_Cost_Type,0))*$M17*INDEX(Act_Type_Repex_Splits,MATCH($I17,Act_Type_Repex,0),MATCH(AU$4,Mat_Type,0))*INDEX(Escalators!$I$44:$U$49,MATCH(AU$4,Escalators!$C$44:$C$49,0),MATCH(AU$5,Escalators!$I$43:$U$43,0))</f>
        <v>0</v>
      </c>
      <c r="AV17" s="47">
        <f>INDEX(Direct_Cost_Splits_Network,MATCH($H17,RIN_Asset_Cat_Network,0),MATCH($AY$4,Direct_Cost_Type,0))*$M17*INDEX(Act_Type_Repex_Splits,MATCH($I17,Act_Type_Repex,0),MATCH(AV$4,Mat_Type,0))*INDEX(Escalators!$I$44:$U$49,MATCH(AV$4,Escalators!$C$44:$C$49,0),MATCH(AV$5,Escalators!$I$43:$U$43,0))</f>
        <v>0</v>
      </c>
      <c r="AW17" s="47">
        <f>INDEX(Direct_Cost_Splits_Network,MATCH($H17,RIN_Asset_Cat_Network,0),MATCH($AY$4,Direct_Cost_Type,0))*$M17*INDEX(Act_Type_Repex_Splits,MATCH($I17,Act_Type_Repex,0),MATCH(AW$4,Mat_Type,0))*INDEX(Escalators!$I$44:$U$49,MATCH(AW$4,Escalators!$C$44:$C$49,0),MATCH(AW$5,Escalators!$I$43:$U$43,0))</f>
        <v>0</v>
      </c>
      <c r="AX17" s="47">
        <f>INDEX(Direct_Cost_Splits_Network,MATCH($H17,RIN_Asset_Cat_Network,0),MATCH($AY$4,Direct_Cost_Type,0))*$M17*INDEX(Act_Type_Repex_Splits,MATCH($I17,Act_Type_Repex,0),MATCH(AX$4,Mat_Type,0))*INDEX(Escalators!$I$44:$U$49,MATCH(AX$4,Escalators!$C$44:$C$49,0),MATCH(AX$5,Escalators!$I$43:$U$43,0))</f>
        <v>0</v>
      </c>
      <c r="AY17" s="47">
        <f t="shared" si="37"/>
        <v>0</v>
      </c>
      <c r="AZ17" s="47">
        <f>INDEX(Direct_Cost_Splits_Network,MATCH($H17,RIN_Asset_Cat_Network,0),MATCH($BE$4,Direct_Cost_Type,0))*$N17*INDEX(Act_Type_Repex_Splits,MATCH($I17,Act_Type_Repex,0),MATCH(AZ$4,Mat_Type,0))*INDEX(Escalators!$I$44:$U$49,MATCH(AZ$4,Escalators!$C$44:$C$49,0),MATCH(AZ$5,Escalators!$I$43:$U$43,0))</f>
        <v>0</v>
      </c>
      <c r="BA17" s="47">
        <f>INDEX(Direct_Cost_Splits_Network,MATCH($H17,RIN_Asset_Cat_Network,0),MATCH($BE$4,Direct_Cost_Type,0))*$N17*INDEX(Act_Type_Repex_Splits,MATCH($I17,Act_Type_Repex,0),MATCH(BA$4,Mat_Type,0))*INDEX(Escalators!$I$44:$U$49,MATCH(BA$4,Escalators!$C$44:$C$49,0),MATCH(BA$5,Escalators!$I$43:$U$43,0))</f>
        <v>0</v>
      </c>
      <c r="BB17" s="47">
        <f>INDEX(Direct_Cost_Splits_Network,MATCH($H17,RIN_Asset_Cat_Network,0),MATCH($BE$4,Direct_Cost_Type,0))*$N17*INDEX(Act_Type_Repex_Splits,MATCH($I17,Act_Type_Repex,0),MATCH(BB$4,Mat_Type,0))*INDEX(Escalators!$I$44:$U$49,MATCH(BB$4,Escalators!$C$44:$C$49,0),MATCH(BB$5,Escalators!$I$43:$U$43,0))</f>
        <v>0</v>
      </c>
      <c r="BC17" s="47">
        <f>INDEX(Direct_Cost_Splits_Network,MATCH($H17,RIN_Asset_Cat_Network,0),MATCH($BE$4,Direct_Cost_Type,0))*$N17*INDEX(Act_Type_Repex_Splits,MATCH($I17,Act_Type_Repex,0),MATCH(BC$4,Mat_Type,0))*INDEX(Escalators!$I$44:$U$49,MATCH(BC$4,Escalators!$C$44:$C$49,0),MATCH(BC$5,Escalators!$I$43:$U$43,0))</f>
        <v>0</v>
      </c>
      <c r="BD17" s="47">
        <f>INDEX(Direct_Cost_Splits_Network,MATCH($H17,RIN_Asset_Cat_Network,0),MATCH($BE$4,Direct_Cost_Type,0))*$N17*INDEX(Act_Type_Repex_Splits,MATCH($I17,Act_Type_Repex,0),MATCH(BD$4,Mat_Type,0))*INDEX(Escalators!$I$44:$U$49,MATCH(BD$4,Escalators!$C$44:$C$49,0),MATCH(BD$5,Escalators!$I$43:$U$43,0))</f>
        <v>0</v>
      </c>
      <c r="BE17" s="47">
        <f t="shared" si="38"/>
        <v>0</v>
      </c>
      <c r="BF17" s="47">
        <f>INDEX(Direct_Cost_Splits_Network,MATCH($H17,RIN_Asset_Cat_Network,0),MATCH($BK$4,Direct_Cost_Type,0))*$O17*INDEX(Act_Type_Repex_Splits,MATCH($I17,Act_Type_Repex,0),MATCH(BF$4,Mat_Type,0))*INDEX(Escalators!$I$44:$U$49,MATCH(BF$4,Escalators!$C$44:$C$49,0),MATCH(BF$5,Escalators!$I$43:$U$43,0))</f>
        <v>0</v>
      </c>
      <c r="BG17" s="47">
        <f>INDEX(Direct_Cost_Splits_Network,MATCH($H17,RIN_Asset_Cat_Network,0),MATCH($BK$4,Direct_Cost_Type,0))*$O17*INDEX(Act_Type_Repex_Splits,MATCH($I17,Act_Type_Repex,0),MATCH(BG$4,Mat_Type,0))*INDEX(Escalators!$I$44:$U$49,MATCH(BG$4,Escalators!$C$44:$C$49,0),MATCH(BG$5,Escalators!$I$43:$U$43,0))</f>
        <v>0</v>
      </c>
      <c r="BH17" s="47">
        <f>INDEX(Direct_Cost_Splits_Network,MATCH($H17,RIN_Asset_Cat_Network,0),MATCH($BK$4,Direct_Cost_Type,0))*$O17*INDEX(Act_Type_Repex_Splits,MATCH($I17,Act_Type_Repex,0),MATCH(BH$4,Mat_Type,0))*INDEX(Escalators!$I$44:$U$49,MATCH(BH$4,Escalators!$C$44:$C$49,0),MATCH(BH$5,Escalators!$I$43:$U$43,0))</f>
        <v>0</v>
      </c>
      <c r="BI17" s="47">
        <f>INDEX(Direct_Cost_Splits_Network,MATCH($H17,RIN_Asset_Cat_Network,0),MATCH($BK$4,Direct_Cost_Type,0))*$O17*INDEX(Act_Type_Repex_Splits,MATCH($I17,Act_Type_Repex,0),MATCH(BI$4,Mat_Type,0))*INDEX(Escalators!$I$44:$U$49,MATCH(BI$4,Escalators!$C$44:$C$49,0),MATCH(BI$5,Escalators!$I$43:$U$43,0))</f>
        <v>0</v>
      </c>
      <c r="BJ17" s="47">
        <f>INDEX(Direct_Cost_Splits_Network,MATCH($H17,RIN_Asset_Cat_Network,0),MATCH($BK$4,Direct_Cost_Type,0))*$O17*INDEX(Act_Type_Repex_Splits,MATCH($I17,Act_Type_Repex,0),MATCH(BJ$4,Mat_Type,0))*INDEX(Escalators!$I$44:$U$49,MATCH(BJ$4,Escalators!$C$44:$C$49,0),MATCH(BJ$5,Escalators!$I$43:$U$43,0))</f>
        <v>0</v>
      </c>
      <c r="BK17" s="47">
        <f t="shared" si="39"/>
        <v>0</v>
      </c>
      <c r="BL17" s="47">
        <f>INDEX(Direct_Cost_Splits_Network,MATCH($H17,RIN_Asset_Cat_Network,0),MATCH($BQ$4,Direct_Cost_Type,0))*$P17*INDEX(Act_Type_Repex_Splits,MATCH($I17,Act_Type_Repex,0),MATCH(BL$4,Mat_Type,0))*INDEX(Escalators!$I$44:$U$49,MATCH(BL$4,Escalators!$C$44:$C$49,0),MATCH(BL$5,Escalators!$I$43:$U$43,0))</f>
        <v>0</v>
      </c>
      <c r="BM17" s="47">
        <f>INDEX(Direct_Cost_Splits_Network,MATCH($H17,RIN_Asset_Cat_Network,0),MATCH($BQ$4,Direct_Cost_Type,0))*$P17*INDEX(Act_Type_Repex_Splits,MATCH($I17,Act_Type_Repex,0),MATCH(BM$4,Mat_Type,0))*INDEX(Escalators!$I$44:$U$49,MATCH(BM$4,Escalators!$C$44:$C$49,0),MATCH(BM$5,Escalators!$I$43:$U$43,0))</f>
        <v>0</v>
      </c>
      <c r="BN17" s="47">
        <f>INDEX(Direct_Cost_Splits_Network,MATCH($H17,RIN_Asset_Cat_Network,0),MATCH($BQ$4,Direct_Cost_Type,0))*$P17*INDEX(Act_Type_Repex_Splits,MATCH($I17,Act_Type_Repex,0),MATCH(BN$4,Mat_Type,0))*INDEX(Escalators!$I$44:$U$49,MATCH(BN$4,Escalators!$C$44:$C$49,0),MATCH(BN$5,Escalators!$I$43:$U$43,0))</f>
        <v>0</v>
      </c>
      <c r="BO17" s="47">
        <f>INDEX(Direct_Cost_Splits_Network,MATCH($H17,RIN_Asset_Cat_Network,0),MATCH($BQ$4,Direct_Cost_Type,0))*$P17*INDEX(Act_Type_Repex_Splits,MATCH($I17,Act_Type_Repex,0),MATCH(BO$4,Mat_Type,0))*INDEX(Escalators!$I$44:$U$49,MATCH(BO$4,Escalators!$C$44:$C$49,0),MATCH(BO$5,Escalators!$I$43:$U$43,0))</f>
        <v>0</v>
      </c>
      <c r="BP17" s="47">
        <f>INDEX(Direct_Cost_Splits_Network,MATCH($H17,RIN_Asset_Cat_Network,0),MATCH($BQ$4,Direct_Cost_Type,0))*$P17*INDEX(Act_Type_Repex_Splits,MATCH($I17,Act_Type_Repex,0),MATCH(BP$4,Mat_Type,0))*INDEX(Escalators!$I$44:$U$49,MATCH(BP$4,Escalators!$C$44:$C$49,0),MATCH(BP$5,Escalators!$I$43:$U$43,0))</f>
        <v>0</v>
      </c>
      <c r="BQ17" s="47">
        <f t="shared" si="40"/>
        <v>0</v>
      </c>
      <c r="BR17" s="47">
        <f>INDEX(Direct_Cost_Splits_Network,MATCH($H17,RIN_Asset_Cat_Network,0),MATCH($BW$4,Direct_Cost_Type,0))*$Q17*INDEX(Act_Type_Repex_Splits,MATCH($I17,Act_Type_Repex,0),MATCH(BR$4,Mat_Type,0))*INDEX(Escalators!$I$44:$U$49,MATCH(BR$4,Escalators!$C$44:$C$49,0),MATCH(BR$5,Escalators!$I$43:$U$43,0))</f>
        <v>0</v>
      </c>
      <c r="BS17" s="47">
        <f>INDEX(Direct_Cost_Splits_Network,MATCH($H17,RIN_Asset_Cat_Network,0),MATCH($BW$4,Direct_Cost_Type,0))*$Q17*INDEX(Act_Type_Repex_Splits,MATCH($I17,Act_Type_Repex,0),MATCH(BS$4,Mat_Type,0))*INDEX(Escalators!$I$44:$U$49,MATCH(BS$4,Escalators!$C$44:$C$49,0),MATCH(BS$5,Escalators!$I$43:$U$43,0))</f>
        <v>0</v>
      </c>
      <c r="BT17" s="47">
        <f>INDEX(Direct_Cost_Splits_Network,MATCH($H17,RIN_Asset_Cat_Network,0),MATCH($BW$4,Direct_Cost_Type,0))*$Q17*INDEX(Act_Type_Repex_Splits,MATCH($I17,Act_Type_Repex,0),MATCH(BT$4,Mat_Type,0))*INDEX(Escalators!$I$44:$U$49,MATCH(BT$4,Escalators!$C$44:$C$49,0),MATCH(BT$5,Escalators!$I$43:$U$43,0))</f>
        <v>0</v>
      </c>
      <c r="BU17" s="47">
        <f>INDEX(Direct_Cost_Splits_Network,MATCH($H17,RIN_Asset_Cat_Network,0),MATCH($BW$4,Direct_Cost_Type,0))*$Q17*INDEX(Act_Type_Repex_Splits,MATCH($I17,Act_Type_Repex,0),MATCH(BU$4,Mat_Type,0))*INDEX(Escalators!$I$44:$U$49,MATCH(BU$4,Escalators!$C$44:$C$49,0),MATCH(BU$5,Escalators!$I$43:$U$43,0))</f>
        <v>0</v>
      </c>
      <c r="BV17" s="47">
        <f>INDEX(Direct_Cost_Splits_Network,MATCH($H17,RIN_Asset_Cat_Network,0),MATCH($BW$4,Direct_Cost_Type,0))*$Q17*INDEX(Act_Type_Repex_Splits,MATCH($I17,Act_Type_Repex,0),MATCH(BV$4,Mat_Type,0))*INDEX(Escalators!$I$44:$U$49,MATCH(BV$4,Escalators!$C$44:$C$49,0),MATCH(BV$5,Escalators!$I$43:$U$43,0))</f>
        <v>0</v>
      </c>
      <c r="BW17" s="47">
        <f t="shared" si="41"/>
        <v>0</v>
      </c>
      <c r="BY17" s="47">
        <f>INDEX(Direct_Cost_Splits_Network,MATCH($H17,RIN_Asset_Cat_Network,0),MATCH($BY$4,Direct_Cost_Type,0))*J17*HLOOKUP(BY$5,Escalators!$I$25:$U$30,6,FALSE)</f>
        <v>0</v>
      </c>
      <c r="BZ17" s="47">
        <f>INDEX(Direct_Cost_Splits_Network,MATCH($H17,RIN_Asset_Cat_Network,0),MATCH($BY$4,Direct_Cost_Type,0))*K17*HLOOKUP(BZ$5,Escalators!$I$25:$U$30,6,FALSE)</f>
        <v>0</v>
      </c>
      <c r="CA17" s="47">
        <f>INDEX(Direct_Cost_Splits_Network,MATCH($H17,RIN_Asset_Cat_Network,0),MATCH($BY$4,Direct_Cost_Type,0))*L17*HLOOKUP(CA$5,Escalators!$I$25:$U$30,6,FALSE)</f>
        <v>0</v>
      </c>
      <c r="CB17" s="47">
        <f>INDEX(Direct_Cost_Splits_Network,MATCH($H17,RIN_Asset_Cat_Network,0),MATCH($BY$4,Direct_Cost_Type,0))*M17*HLOOKUP(CB$5,Escalators!$I$25:$U$30,6,FALSE)</f>
        <v>0</v>
      </c>
      <c r="CC17" s="47">
        <f>INDEX(Direct_Cost_Splits_Network,MATCH($H17,RIN_Asset_Cat_Network,0),MATCH($BY$4,Direct_Cost_Type,0))*N17*HLOOKUP(CC$5,Escalators!$I$25:$U$30,6,FALSE)</f>
        <v>0</v>
      </c>
      <c r="CD17" s="47">
        <f>INDEX(Direct_Cost_Splits_Network,MATCH($H17,RIN_Asset_Cat_Network,0),MATCH($BY$4,Direct_Cost_Type,0))*O17*HLOOKUP(CD$5,Escalators!$I$25:$U$30,6,FALSE)</f>
        <v>0</v>
      </c>
      <c r="CE17" s="47">
        <f>INDEX(Direct_Cost_Splits_Network,MATCH($H17,RIN_Asset_Cat_Network,0),MATCH($BY$4,Direct_Cost_Type,0))*P17*HLOOKUP(CE$5,Escalators!$I$25:$U$30,6,FALSE)</f>
        <v>0</v>
      </c>
      <c r="CF17" s="47">
        <f>INDEX(Direct_Cost_Splits_Network,MATCH($H17,RIN_Asset_Cat_Network,0),MATCH($BY$4,Direct_Cost_Type,0))*Q17*HLOOKUP(CF$5,Escalators!$I$25:$U$30,6,FALSE)</f>
        <v>0</v>
      </c>
      <c r="CH17" s="83">
        <f t="shared" si="42"/>
        <v>0</v>
      </c>
      <c r="CI17" s="83">
        <f t="shared" si="43"/>
        <v>0</v>
      </c>
      <c r="CJ17" s="83">
        <f t="shared" si="43"/>
        <v>0</v>
      </c>
      <c r="CK17" s="83">
        <f t="shared" si="44"/>
        <v>0</v>
      </c>
      <c r="CL17" s="83">
        <f t="shared" si="45"/>
        <v>0</v>
      </c>
      <c r="CM17" s="83">
        <f t="shared" si="46"/>
        <v>0</v>
      </c>
      <c r="CN17" s="83">
        <f t="shared" si="47"/>
        <v>0</v>
      </c>
      <c r="CO17" s="83">
        <f t="shared" si="48"/>
        <v>0</v>
      </c>
      <c r="CQ17" s="47">
        <f t="shared" si="49"/>
        <v>0</v>
      </c>
      <c r="CR17" s="47">
        <f t="shared" si="50"/>
        <v>0</v>
      </c>
      <c r="CS17" s="47">
        <f t="shared" si="51"/>
        <v>0</v>
      </c>
      <c r="CT17" s="47">
        <f t="shared" si="52"/>
        <v>0</v>
      </c>
      <c r="CU17" s="47">
        <f t="shared" si="53"/>
        <v>0</v>
      </c>
      <c r="CV17" s="47">
        <f t="shared" si="54"/>
        <v>0</v>
      </c>
      <c r="CW17" s="47">
        <f t="shared" si="55"/>
        <v>0</v>
      </c>
      <c r="CX17" s="47">
        <f t="shared" si="56"/>
        <v>0</v>
      </c>
      <c r="CZ17" s="47">
        <f t="shared" si="57"/>
        <v>0</v>
      </c>
      <c r="DA17" s="47">
        <f t="shared" si="58"/>
        <v>0</v>
      </c>
      <c r="DB17" s="47">
        <f>DA17*Escalators!$M$17</f>
        <v>0</v>
      </c>
      <c r="DC17" s="47">
        <f>SUMPRODUCT(1+AusNet_Overheads!$K$20:$O$20,CT17:CX17)</f>
        <v>0</v>
      </c>
      <c r="DD17" s="373">
        <f>DC17*Escalators!$M$17</f>
        <v>0</v>
      </c>
      <c r="DE17" s="158"/>
      <c r="DF17" s="158"/>
      <c r="DG17" s="204"/>
      <c r="DH17" s="263"/>
    </row>
    <row r="18" spans="2:112" x14ac:dyDescent="0.3">
      <c r="B18" s="7"/>
      <c r="C18" s="7"/>
      <c r="D18" s="7"/>
      <c r="E18" s="7" t="s">
        <v>44</v>
      </c>
      <c r="F18" s="7" t="s">
        <v>131</v>
      </c>
      <c r="G18" s="7" t="s">
        <v>150</v>
      </c>
      <c r="H18" s="7" t="s">
        <v>176</v>
      </c>
      <c r="I18" s="7" t="s">
        <v>248</v>
      </c>
      <c r="J18" s="45"/>
      <c r="K18" s="45"/>
      <c r="L18" s="45"/>
      <c r="M18" s="45"/>
      <c r="N18" s="45"/>
      <c r="O18" s="45"/>
      <c r="P18" s="45"/>
      <c r="Q18" s="45"/>
      <c r="S18" s="47"/>
      <c r="T18" s="47"/>
      <c r="U18" s="47"/>
      <c r="V18" s="47"/>
      <c r="W18" s="47"/>
      <c r="X18" s="47"/>
      <c r="Y18" s="47"/>
      <c r="Z18" s="47"/>
      <c r="AB18" s="6"/>
      <c r="AC18" s="6"/>
      <c r="AD18" s="6"/>
      <c r="AE18" s="6"/>
      <c r="AF18" s="6"/>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Y18" s="47"/>
      <c r="BZ18" s="47"/>
      <c r="CA18" s="47"/>
      <c r="CB18" s="47"/>
      <c r="CC18" s="47"/>
      <c r="CD18" s="47"/>
      <c r="CE18" s="47"/>
      <c r="CF18" s="47"/>
      <c r="CH18" s="83"/>
      <c r="CI18" s="83"/>
      <c r="CJ18" s="83"/>
      <c r="CK18" s="83"/>
      <c r="CL18" s="83"/>
      <c r="CM18" s="83"/>
      <c r="CN18" s="83"/>
      <c r="CO18" s="83"/>
      <c r="CQ18" s="47">
        <f t="shared" si="49"/>
        <v>0</v>
      </c>
      <c r="CR18" s="47">
        <f t="shared" si="50"/>
        <v>0</v>
      </c>
      <c r="CS18" s="47">
        <f t="shared" si="51"/>
        <v>0</v>
      </c>
      <c r="CT18" s="47">
        <f t="shared" si="52"/>
        <v>0</v>
      </c>
      <c r="CU18" s="47">
        <f t="shared" si="53"/>
        <v>0</v>
      </c>
      <c r="CV18" s="47">
        <f t="shared" si="54"/>
        <v>0</v>
      </c>
      <c r="CW18" s="47">
        <f t="shared" si="55"/>
        <v>0</v>
      </c>
      <c r="CX18" s="47">
        <f t="shared" si="56"/>
        <v>0</v>
      </c>
      <c r="CZ18" s="47">
        <f t="shared" si="57"/>
        <v>0</v>
      </c>
      <c r="DA18" s="47">
        <f t="shared" si="58"/>
        <v>0</v>
      </c>
      <c r="DB18" s="47">
        <f>DA18*Escalators!$M$17</f>
        <v>0</v>
      </c>
      <c r="DC18" s="47">
        <f>SUMPRODUCT(1+AusNet_Overheads!$K$20:$O$20,CT18:CX18)</f>
        <v>0</v>
      </c>
      <c r="DD18" s="373">
        <f>DC18*Escalators!$M$17</f>
        <v>0</v>
      </c>
    </row>
    <row r="19" spans="2:112" x14ac:dyDescent="0.3">
      <c r="B19" s="7"/>
      <c r="C19" s="7"/>
      <c r="D19" s="7"/>
      <c r="E19" s="7" t="s">
        <v>44</v>
      </c>
      <c r="F19" s="7" t="s">
        <v>131</v>
      </c>
      <c r="G19" s="7" t="s">
        <v>150</v>
      </c>
      <c r="H19" s="7" t="s">
        <v>176</v>
      </c>
      <c r="I19" s="7" t="s">
        <v>248</v>
      </c>
      <c r="J19" s="45"/>
      <c r="K19" s="45"/>
      <c r="L19" s="45"/>
      <c r="M19" s="45"/>
      <c r="N19" s="45"/>
      <c r="O19" s="45"/>
      <c r="P19" s="45"/>
      <c r="Q19" s="45"/>
      <c r="S19" s="47"/>
      <c r="T19" s="47"/>
      <c r="U19" s="47"/>
      <c r="V19" s="47"/>
      <c r="W19" s="47"/>
      <c r="X19" s="47"/>
      <c r="Y19" s="47"/>
      <c r="Z19" s="47"/>
      <c r="AB19" s="6">
        <f>INDEX(Direct_Cost_Splits_Network,MATCH($H19,RIN_Asset_Cat_Network,0),MATCH($AG$4,Direct_Cost_Type,0))*$J19*INDEX(Act_Type_Repex_Splits,MATCH($I19,Act_Type_Repex,0),MATCH(AB$4,Mat_Type,0))*INDEX(Escalators!$I$44:$U$49,MATCH(AB$4,Escalators!$C$44:$C$49,0),MATCH(AB$5,Escalators!$I$43:$U$43,0))</f>
        <v>0</v>
      </c>
      <c r="AC19" s="6">
        <f>INDEX(Direct_Cost_Splits_Network,MATCH($H19,RIN_Asset_Cat_Network,0),MATCH($AG$4,Direct_Cost_Type,0))*$J19*INDEX(Act_Type_Repex_Splits,MATCH($I19,Act_Type_Repex,0),MATCH(AC$4,Mat_Type,0))*INDEX(Escalators!$I$44:$U$49,MATCH(AC$4,Escalators!$C$44:$C$49,0),MATCH(AC$5,Escalators!$I$43:$U$43,0))</f>
        <v>0</v>
      </c>
      <c r="AD19" s="6">
        <f>INDEX(Direct_Cost_Splits_Network,MATCH($H19,RIN_Asset_Cat_Network,0),MATCH($AG$4,Direct_Cost_Type,0))*$J19*INDEX(Act_Type_Repex_Splits,MATCH($I19,Act_Type_Repex,0),MATCH(AD$4,Mat_Type,0))*INDEX(Escalators!$I$44:$U$49,MATCH(AD$4,Escalators!$C$44:$C$49,0),MATCH(AD$5,Escalators!$I$43:$U$43,0))</f>
        <v>0</v>
      </c>
      <c r="AE19" s="6">
        <f>INDEX(Direct_Cost_Splits_Network,MATCH($H19,RIN_Asset_Cat_Network,0),MATCH($AG$4,Direct_Cost_Type,0))*$J19*INDEX(Act_Type_Repex_Splits,MATCH($I19,Act_Type_Repex,0),MATCH(AE$4,Mat_Type,0))*INDEX(Escalators!$I$44:$U$49,MATCH(AE$4,Escalators!$C$44:$C$49,0),MATCH(AE$5,Escalators!$I$43:$U$43,0))</f>
        <v>0</v>
      </c>
      <c r="AF19" s="6">
        <f>INDEX(Direct_Cost_Splits_Network,MATCH($H19,RIN_Asset_Cat_Network,0),MATCH($AG$4,Direct_Cost_Type,0))*$J19*INDEX(Act_Type_Repex_Splits,MATCH($I19,Act_Type_Repex,0),MATCH(AF$4,Mat_Type,0))*INDEX(Escalators!$I$44:$U$49,MATCH(AF$4,Escalators!$C$44:$C$49,0),MATCH(AF$5,Escalators!$I$43:$U$43,0))</f>
        <v>0</v>
      </c>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Y19" s="47"/>
      <c r="BZ19" s="47"/>
      <c r="CA19" s="47"/>
      <c r="CB19" s="47"/>
      <c r="CC19" s="47"/>
      <c r="CD19" s="47"/>
      <c r="CE19" s="47"/>
      <c r="CF19" s="47"/>
      <c r="CH19" s="83"/>
      <c r="CI19" s="83"/>
      <c r="CJ19" s="83"/>
      <c r="CK19" s="83"/>
      <c r="CL19" s="83"/>
      <c r="CM19" s="83"/>
      <c r="CN19" s="83"/>
      <c r="CO19" s="83"/>
      <c r="CQ19" s="47">
        <f t="shared" si="49"/>
        <v>0</v>
      </c>
      <c r="CR19" s="47">
        <f t="shared" si="50"/>
        <v>0</v>
      </c>
      <c r="CS19" s="47">
        <f t="shared" si="51"/>
        <v>0</v>
      </c>
      <c r="CT19" s="47">
        <f t="shared" si="52"/>
        <v>0</v>
      </c>
      <c r="CU19" s="47">
        <f t="shared" si="53"/>
        <v>0</v>
      </c>
      <c r="CV19" s="47">
        <f t="shared" si="54"/>
        <v>0</v>
      </c>
      <c r="CW19" s="47">
        <f t="shared" si="55"/>
        <v>0</v>
      </c>
      <c r="CX19" s="47">
        <f t="shared" si="56"/>
        <v>0</v>
      </c>
      <c r="CZ19" s="47">
        <f t="shared" si="57"/>
        <v>0</v>
      </c>
      <c r="DA19" s="47">
        <f t="shared" si="58"/>
        <v>0</v>
      </c>
      <c r="DB19" s="47">
        <f>DA19*Escalators!$M$17</f>
        <v>0</v>
      </c>
      <c r="DC19" s="47">
        <f>SUMPRODUCT(1+AusNet_Overheads!$K$20:$O$20,CT19:CX19)</f>
        <v>0</v>
      </c>
      <c r="DD19" s="373">
        <f>DC19*Escalators!$M$17</f>
        <v>0</v>
      </c>
    </row>
    <row r="20" spans="2:112" x14ac:dyDescent="0.3">
      <c r="B20" s="7"/>
      <c r="C20" s="7"/>
      <c r="D20" s="7"/>
      <c r="E20" s="7" t="s">
        <v>44</v>
      </c>
      <c r="F20" s="7" t="s">
        <v>131</v>
      </c>
      <c r="G20" s="7" t="s">
        <v>150</v>
      </c>
      <c r="H20" s="7" t="s">
        <v>176</v>
      </c>
      <c r="I20" s="7" t="s">
        <v>248</v>
      </c>
      <c r="J20" s="45"/>
      <c r="K20" s="45"/>
      <c r="L20" s="45"/>
      <c r="M20" s="45"/>
      <c r="N20" s="45"/>
      <c r="O20" s="45"/>
      <c r="P20" s="45"/>
      <c r="Q20" s="45"/>
      <c r="S20" s="47"/>
      <c r="T20" s="47"/>
      <c r="U20" s="47"/>
      <c r="V20" s="47"/>
      <c r="W20" s="47"/>
      <c r="X20" s="47"/>
      <c r="Y20" s="47"/>
      <c r="Z20" s="47"/>
      <c r="AB20" s="6">
        <f>INDEX(Direct_Cost_Splits_Network,MATCH($H20,RIN_Asset_Cat_Network,0),MATCH($AG$4,Direct_Cost_Type,0))*$J20*INDEX(Act_Type_Repex_Splits,MATCH($I20,Act_Type_Repex,0),MATCH(AB$4,Mat_Type,0))*INDEX(Escalators!$I$44:$U$49,MATCH(AB$4,Escalators!$C$44:$C$49,0),MATCH(AB$5,Escalators!$I$43:$U$43,0))</f>
        <v>0</v>
      </c>
      <c r="AC20" s="6">
        <f>INDEX(Direct_Cost_Splits_Network,MATCH($H20,RIN_Asset_Cat_Network,0),MATCH($AG$4,Direct_Cost_Type,0))*$J20*INDEX(Act_Type_Repex_Splits,MATCH($I20,Act_Type_Repex,0),MATCH(AC$4,Mat_Type,0))*INDEX(Escalators!$I$44:$U$49,MATCH(AC$4,Escalators!$C$44:$C$49,0),MATCH(AC$5,Escalators!$I$43:$U$43,0))</f>
        <v>0</v>
      </c>
      <c r="AD20" s="6">
        <f>INDEX(Direct_Cost_Splits_Network,MATCH($H20,RIN_Asset_Cat_Network,0),MATCH($AG$4,Direct_Cost_Type,0))*$J20*INDEX(Act_Type_Repex_Splits,MATCH($I20,Act_Type_Repex,0),MATCH(AD$4,Mat_Type,0))*INDEX(Escalators!$I$44:$U$49,MATCH(AD$4,Escalators!$C$44:$C$49,0),MATCH(AD$5,Escalators!$I$43:$U$43,0))</f>
        <v>0</v>
      </c>
      <c r="AE20" s="6">
        <f>INDEX(Direct_Cost_Splits_Network,MATCH($H20,RIN_Asset_Cat_Network,0),MATCH($AG$4,Direct_Cost_Type,0))*$J20*INDEX(Act_Type_Repex_Splits,MATCH($I20,Act_Type_Repex,0),MATCH(AE$4,Mat_Type,0))*INDEX(Escalators!$I$44:$U$49,MATCH(AE$4,Escalators!$C$44:$C$49,0),MATCH(AE$5,Escalators!$I$43:$U$43,0))</f>
        <v>0</v>
      </c>
      <c r="AF20" s="6">
        <f>INDEX(Direct_Cost_Splits_Network,MATCH($H20,RIN_Asset_Cat_Network,0),MATCH($AG$4,Direct_Cost_Type,0))*$J20*INDEX(Act_Type_Repex_Splits,MATCH($I20,Act_Type_Repex,0),MATCH(AF$4,Mat_Type,0))*INDEX(Escalators!$I$44:$U$49,MATCH(AF$4,Escalators!$C$44:$C$49,0),MATCH(AF$5,Escalators!$I$43:$U$43,0))</f>
        <v>0</v>
      </c>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Y20" s="47"/>
      <c r="BZ20" s="47"/>
      <c r="CA20" s="47"/>
      <c r="CB20" s="47"/>
      <c r="CC20" s="47"/>
      <c r="CD20" s="47"/>
      <c r="CE20" s="47"/>
      <c r="CF20" s="47"/>
      <c r="CH20" s="83"/>
      <c r="CI20" s="83"/>
      <c r="CJ20" s="83"/>
      <c r="CK20" s="83"/>
      <c r="CL20" s="83"/>
      <c r="CM20" s="83"/>
      <c r="CN20" s="83"/>
      <c r="CO20" s="83"/>
      <c r="CQ20" s="47">
        <f t="shared" si="49"/>
        <v>0</v>
      </c>
      <c r="CR20" s="47">
        <f t="shared" si="50"/>
        <v>0</v>
      </c>
      <c r="CS20" s="47">
        <f t="shared" si="51"/>
        <v>0</v>
      </c>
      <c r="CT20" s="47">
        <f t="shared" si="52"/>
        <v>0</v>
      </c>
      <c r="CU20" s="47">
        <f t="shared" si="53"/>
        <v>0</v>
      </c>
      <c r="CV20" s="47">
        <f t="shared" si="54"/>
        <v>0</v>
      </c>
      <c r="CW20" s="47">
        <f t="shared" si="55"/>
        <v>0</v>
      </c>
      <c r="CX20" s="47">
        <f t="shared" si="56"/>
        <v>0</v>
      </c>
      <c r="CZ20" s="47">
        <f t="shared" si="57"/>
        <v>0</v>
      </c>
      <c r="DA20" s="47">
        <f t="shared" si="58"/>
        <v>0</v>
      </c>
      <c r="DB20" s="47">
        <f>DA20*Escalators!$M$17</f>
        <v>0</v>
      </c>
      <c r="DC20" s="47">
        <f>SUMPRODUCT(1+AusNet_Overheads!$K$20:$O$20,CT20:CX20)</f>
        <v>0</v>
      </c>
      <c r="DD20" s="373">
        <f>DC20*Escalators!$M$17</f>
        <v>0</v>
      </c>
    </row>
    <row r="21" spans="2:112" x14ac:dyDescent="0.3">
      <c r="B21" s="7"/>
      <c r="C21" s="7"/>
      <c r="D21" s="7"/>
      <c r="E21" s="7" t="s">
        <v>44</v>
      </c>
      <c r="F21" s="7" t="s">
        <v>131</v>
      </c>
      <c r="G21" s="7" t="s">
        <v>150</v>
      </c>
      <c r="H21" s="7" t="s">
        <v>176</v>
      </c>
      <c r="I21" s="7" t="s">
        <v>248</v>
      </c>
      <c r="J21" s="45"/>
      <c r="K21" s="45"/>
      <c r="L21" s="45"/>
      <c r="M21" s="45"/>
      <c r="N21" s="45"/>
      <c r="O21" s="45"/>
      <c r="P21" s="45"/>
      <c r="Q21" s="45"/>
      <c r="S21" s="47"/>
      <c r="T21" s="47"/>
      <c r="U21" s="47"/>
      <c r="V21" s="47"/>
      <c r="W21" s="47"/>
      <c r="X21" s="47"/>
      <c r="Y21" s="47"/>
      <c r="Z21" s="47"/>
      <c r="AB21" s="6">
        <f>INDEX(Direct_Cost_Splits_Network,MATCH($H21,RIN_Asset_Cat_Network,0),MATCH($AG$4,Direct_Cost_Type,0))*$J21*INDEX(Act_Type_Repex_Splits,MATCH($I21,Act_Type_Repex,0),MATCH(AB$4,Mat_Type,0))*INDEX(Escalators!$I$44:$U$49,MATCH(AB$4,Escalators!$C$44:$C$49,0),MATCH(AB$5,Escalators!$I$43:$U$43,0))</f>
        <v>0</v>
      </c>
      <c r="AC21" s="6">
        <f>INDEX(Direct_Cost_Splits_Network,MATCH($H21,RIN_Asset_Cat_Network,0),MATCH($AG$4,Direct_Cost_Type,0))*$J21*INDEX(Act_Type_Repex_Splits,MATCH($I21,Act_Type_Repex,0),MATCH(AC$4,Mat_Type,0))*INDEX(Escalators!$I$44:$U$49,MATCH(AC$4,Escalators!$C$44:$C$49,0),MATCH(AC$5,Escalators!$I$43:$U$43,0))</f>
        <v>0</v>
      </c>
      <c r="AD21" s="6">
        <f>INDEX(Direct_Cost_Splits_Network,MATCH($H21,RIN_Asset_Cat_Network,0),MATCH($AG$4,Direct_Cost_Type,0))*$J21*INDEX(Act_Type_Repex_Splits,MATCH($I21,Act_Type_Repex,0),MATCH(AD$4,Mat_Type,0))*INDEX(Escalators!$I$44:$U$49,MATCH(AD$4,Escalators!$C$44:$C$49,0),MATCH(AD$5,Escalators!$I$43:$U$43,0))</f>
        <v>0</v>
      </c>
      <c r="AE21" s="6">
        <f>INDEX(Direct_Cost_Splits_Network,MATCH($H21,RIN_Asset_Cat_Network,0),MATCH($AG$4,Direct_Cost_Type,0))*$J21*INDEX(Act_Type_Repex_Splits,MATCH($I21,Act_Type_Repex,0),MATCH(AE$4,Mat_Type,0))*INDEX(Escalators!$I$44:$U$49,MATCH(AE$4,Escalators!$C$44:$C$49,0),MATCH(AE$5,Escalators!$I$43:$U$43,0))</f>
        <v>0</v>
      </c>
      <c r="AF21" s="6">
        <f>INDEX(Direct_Cost_Splits_Network,MATCH($H21,RIN_Asset_Cat_Network,0),MATCH($AG$4,Direct_Cost_Type,0))*$J21*INDEX(Act_Type_Repex_Splits,MATCH($I21,Act_Type_Repex,0),MATCH(AF$4,Mat_Type,0))*INDEX(Escalators!$I$44:$U$49,MATCH(AF$4,Escalators!$C$44:$C$49,0),MATCH(AF$5,Escalators!$I$43:$U$43,0))</f>
        <v>0</v>
      </c>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Y21" s="47"/>
      <c r="BZ21" s="47"/>
      <c r="CA21" s="47"/>
      <c r="CB21" s="47"/>
      <c r="CC21" s="47"/>
      <c r="CD21" s="47"/>
      <c r="CE21" s="47"/>
      <c r="CF21" s="47"/>
      <c r="CH21" s="83"/>
      <c r="CI21" s="83"/>
      <c r="CJ21" s="83"/>
      <c r="CK21" s="83"/>
      <c r="CL21" s="83"/>
      <c r="CM21" s="83"/>
      <c r="CN21" s="83"/>
      <c r="CO21" s="83"/>
      <c r="CQ21" s="47">
        <f t="shared" si="49"/>
        <v>0</v>
      </c>
      <c r="CR21" s="47">
        <f t="shared" si="50"/>
        <v>0</v>
      </c>
      <c r="CS21" s="47">
        <f t="shared" si="51"/>
        <v>0</v>
      </c>
      <c r="CT21" s="47">
        <f t="shared" si="52"/>
        <v>0</v>
      </c>
      <c r="CU21" s="47">
        <f t="shared" si="53"/>
        <v>0</v>
      </c>
      <c r="CV21" s="47">
        <f t="shared" si="54"/>
        <v>0</v>
      </c>
      <c r="CW21" s="47">
        <f t="shared" si="55"/>
        <v>0</v>
      </c>
      <c r="CX21" s="47">
        <f t="shared" si="56"/>
        <v>0</v>
      </c>
      <c r="CZ21" s="47">
        <f t="shared" si="57"/>
        <v>0</v>
      </c>
      <c r="DA21" s="47">
        <f t="shared" si="58"/>
        <v>0</v>
      </c>
      <c r="DB21" s="47">
        <f>DA21*Escalators!$M$17</f>
        <v>0</v>
      </c>
      <c r="DC21" s="47">
        <f>SUMPRODUCT(1+AusNet_Overheads!$K$20:$O$20,CT21:CX21)</f>
        <v>0</v>
      </c>
      <c r="DD21" s="373">
        <f>DC21*Escalators!$M$17</f>
        <v>0</v>
      </c>
    </row>
    <row r="22" spans="2:112"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6"/>
      <c r="AC22" s="6"/>
      <c r="AD22" s="6"/>
      <c r="AE22" s="6"/>
      <c r="AF22" s="6"/>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Y22" s="47"/>
      <c r="BZ22" s="47"/>
      <c r="CA22" s="47"/>
      <c r="CB22" s="47"/>
      <c r="CC22" s="47"/>
      <c r="CD22" s="47"/>
      <c r="CE22" s="47"/>
      <c r="CF22" s="47"/>
      <c r="CH22" s="47"/>
      <c r="CI22" s="47"/>
      <c r="CJ22" s="47"/>
      <c r="CK22" s="47"/>
      <c r="CL22" s="47"/>
      <c r="CM22" s="47"/>
      <c r="CN22" s="47"/>
      <c r="CO22" s="47"/>
      <c r="CQ22" s="47">
        <f t="shared" si="49"/>
        <v>0</v>
      </c>
      <c r="CR22" s="47">
        <f t="shared" si="50"/>
        <v>0</v>
      </c>
      <c r="CS22" s="47">
        <f t="shared" si="51"/>
        <v>0</v>
      </c>
      <c r="CT22" s="47">
        <f t="shared" si="52"/>
        <v>0</v>
      </c>
      <c r="CU22" s="47">
        <f t="shared" si="53"/>
        <v>0</v>
      </c>
      <c r="CV22" s="47">
        <f t="shared" si="54"/>
        <v>0</v>
      </c>
      <c r="CW22" s="47">
        <f t="shared" si="55"/>
        <v>0</v>
      </c>
      <c r="CX22" s="47">
        <f t="shared" si="56"/>
        <v>0</v>
      </c>
      <c r="CZ22" s="6"/>
      <c r="DA22" s="6"/>
      <c r="DB22" s="6"/>
      <c r="DC22" s="6"/>
      <c r="DD22" s="6"/>
    </row>
    <row r="23" spans="2:112"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6"/>
      <c r="AC23" s="6"/>
      <c r="AD23" s="6"/>
      <c r="AE23" s="6"/>
      <c r="AF23" s="6"/>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Y23" s="47"/>
      <c r="BZ23" s="47"/>
      <c r="CA23" s="47"/>
      <c r="CB23" s="47"/>
      <c r="CC23" s="47"/>
      <c r="CD23" s="47"/>
      <c r="CE23" s="47"/>
      <c r="CF23" s="47"/>
      <c r="CH23" s="47"/>
      <c r="CI23" s="47"/>
      <c r="CJ23" s="47"/>
      <c r="CK23" s="47"/>
      <c r="CL23" s="47"/>
      <c r="CM23" s="47"/>
      <c r="CN23" s="47"/>
      <c r="CO23" s="47"/>
      <c r="CQ23" s="47">
        <f t="shared" si="49"/>
        <v>0</v>
      </c>
      <c r="CR23" s="47">
        <f t="shared" si="50"/>
        <v>0</v>
      </c>
      <c r="CS23" s="47">
        <f t="shared" si="51"/>
        <v>0</v>
      </c>
      <c r="CT23" s="47">
        <f t="shared" si="52"/>
        <v>0</v>
      </c>
      <c r="CU23" s="47">
        <f t="shared" si="53"/>
        <v>0</v>
      </c>
      <c r="CV23" s="47">
        <f t="shared" si="54"/>
        <v>0</v>
      </c>
      <c r="CW23" s="47">
        <f t="shared" si="55"/>
        <v>0</v>
      </c>
      <c r="CX23" s="47">
        <f t="shared" si="56"/>
        <v>0</v>
      </c>
      <c r="CZ23" s="6"/>
      <c r="DA23" s="6"/>
      <c r="DB23" s="6"/>
      <c r="DC23" s="6"/>
      <c r="DD23" s="6"/>
    </row>
    <row r="24" spans="2:112"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6"/>
      <c r="AC24" s="6"/>
      <c r="AD24" s="6"/>
      <c r="AE24" s="6"/>
      <c r="AF24" s="6"/>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Y24" s="47"/>
      <c r="BZ24" s="47"/>
      <c r="CA24" s="47"/>
      <c r="CB24" s="47"/>
      <c r="CC24" s="47"/>
      <c r="CD24" s="47"/>
      <c r="CE24" s="47"/>
      <c r="CF24" s="47"/>
      <c r="CH24" s="47"/>
      <c r="CI24" s="47"/>
      <c r="CJ24" s="47"/>
      <c r="CK24" s="47"/>
      <c r="CL24" s="47"/>
      <c r="CM24" s="47"/>
      <c r="CN24" s="47"/>
      <c r="CO24" s="47"/>
      <c r="CQ24" s="47">
        <f t="shared" si="49"/>
        <v>0</v>
      </c>
      <c r="CR24" s="47">
        <f t="shared" si="50"/>
        <v>0</v>
      </c>
      <c r="CS24" s="47">
        <f t="shared" si="51"/>
        <v>0</v>
      </c>
      <c r="CT24" s="47">
        <f t="shared" si="52"/>
        <v>0</v>
      </c>
      <c r="CU24" s="47">
        <f t="shared" si="53"/>
        <v>0</v>
      </c>
      <c r="CV24" s="47">
        <f t="shared" si="54"/>
        <v>0</v>
      </c>
      <c r="CW24" s="47">
        <f t="shared" si="55"/>
        <v>0</v>
      </c>
      <c r="CX24" s="47">
        <f t="shared" si="56"/>
        <v>0</v>
      </c>
      <c r="CZ24" s="6"/>
      <c r="DA24" s="6"/>
      <c r="DB24" s="6"/>
      <c r="DC24" s="6"/>
      <c r="DD24" s="6"/>
    </row>
    <row r="25" spans="2:112"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6"/>
      <c r="AC25" s="6"/>
      <c r="AD25" s="6"/>
      <c r="AE25" s="6"/>
      <c r="AF25" s="6"/>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Y25" s="47"/>
      <c r="BZ25" s="47"/>
      <c r="CA25" s="47"/>
      <c r="CB25" s="47"/>
      <c r="CC25" s="47"/>
      <c r="CD25" s="47"/>
      <c r="CE25" s="47"/>
      <c r="CF25" s="47"/>
      <c r="CH25" s="47"/>
      <c r="CI25" s="47"/>
      <c r="CJ25" s="47"/>
      <c r="CK25" s="47"/>
      <c r="CL25" s="47"/>
      <c r="CM25" s="47"/>
      <c r="CN25" s="47"/>
      <c r="CO25" s="47"/>
      <c r="CQ25" s="47">
        <f t="shared" si="49"/>
        <v>0</v>
      </c>
      <c r="CR25" s="47">
        <f t="shared" si="50"/>
        <v>0</v>
      </c>
      <c r="CS25" s="47">
        <f t="shared" si="51"/>
        <v>0</v>
      </c>
      <c r="CT25" s="47">
        <f t="shared" si="52"/>
        <v>0</v>
      </c>
      <c r="CU25" s="47">
        <f t="shared" si="53"/>
        <v>0</v>
      </c>
      <c r="CV25" s="47">
        <f t="shared" si="54"/>
        <v>0</v>
      </c>
      <c r="CW25" s="47">
        <f t="shared" si="55"/>
        <v>0</v>
      </c>
      <c r="CX25" s="47">
        <f t="shared" si="56"/>
        <v>0</v>
      </c>
      <c r="CZ25" s="6"/>
      <c r="DA25" s="6"/>
      <c r="DB25" s="6"/>
      <c r="DC25" s="6"/>
      <c r="DD25" s="6"/>
    </row>
    <row r="26" spans="2:112"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6"/>
      <c r="AC26" s="6"/>
      <c r="AD26" s="6"/>
      <c r="AE26" s="6"/>
      <c r="AF26" s="6"/>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Y26" s="47"/>
      <c r="BZ26" s="47"/>
      <c r="CA26" s="47"/>
      <c r="CB26" s="47"/>
      <c r="CC26" s="47"/>
      <c r="CD26" s="47"/>
      <c r="CE26" s="47"/>
      <c r="CF26" s="47"/>
      <c r="CH26" s="47"/>
      <c r="CI26" s="47"/>
      <c r="CJ26" s="47"/>
      <c r="CK26" s="47"/>
      <c r="CL26" s="47"/>
      <c r="CM26" s="47"/>
      <c r="CN26" s="47"/>
      <c r="CO26" s="47"/>
      <c r="CQ26" s="47">
        <f t="shared" si="49"/>
        <v>0</v>
      </c>
      <c r="CR26" s="47">
        <f t="shared" si="50"/>
        <v>0</v>
      </c>
      <c r="CS26" s="47">
        <f t="shared" si="51"/>
        <v>0</v>
      </c>
      <c r="CT26" s="47">
        <f t="shared" si="52"/>
        <v>0</v>
      </c>
      <c r="CU26" s="47">
        <f t="shared" si="53"/>
        <v>0</v>
      </c>
      <c r="CV26" s="47">
        <f t="shared" si="54"/>
        <v>0</v>
      </c>
      <c r="CW26" s="47">
        <f t="shared" si="55"/>
        <v>0</v>
      </c>
      <c r="CX26" s="47">
        <f t="shared" si="56"/>
        <v>0</v>
      </c>
      <c r="CZ26" s="6"/>
      <c r="DA26" s="6"/>
      <c r="DB26" s="6"/>
      <c r="DC26" s="6"/>
      <c r="DD26" s="6"/>
    </row>
    <row r="27" spans="2:112"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6"/>
      <c r="AC27" s="6"/>
      <c r="AD27" s="6"/>
      <c r="AE27" s="6"/>
      <c r="AF27" s="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Y27" s="47"/>
      <c r="BZ27" s="47"/>
      <c r="CA27" s="47"/>
      <c r="CB27" s="47"/>
      <c r="CC27" s="47"/>
      <c r="CD27" s="47"/>
      <c r="CE27" s="47"/>
      <c r="CF27" s="47"/>
      <c r="CH27" s="47"/>
      <c r="CI27" s="47"/>
      <c r="CJ27" s="47"/>
      <c r="CK27" s="47"/>
      <c r="CL27" s="47"/>
      <c r="CM27" s="47"/>
      <c r="CN27" s="47"/>
      <c r="CO27" s="47"/>
      <c r="CQ27" s="47">
        <f t="shared" si="49"/>
        <v>0</v>
      </c>
      <c r="CR27" s="47">
        <f t="shared" si="50"/>
        <v>0</v>
      </c>
      <c r="CS27" s="47">
        <f t="shared" si="51"/>
        <v>0</v>
      </c>
      <c r="CT27" s="47">
        <f t="shared" si="52"/>
        <v>0</v>
      </c>
      <c r="CU27" s="47">
        <f t="shared" si="53"/>
        <v>0</v>
      </c>
      <c r="CV27" s="47">
        <f t="shared" si="54"/>
        <v>0</v>
      </c>
      <c r="CW27" s="47">
        <f t="shared" si="55"/>
        <v>0</v>
      </c>
      <c r="CX27" s="47">
        <f t="shared" si="56"/>
        <v>0</v>
      </c>
      <c r="CZ27" s="6"/>
      <c r="DA27" s="6"/>
      <c r="DB27" s="6"/>
      <c r="DC27" s="6"/>
      <c r="DD27" s="6"/>
    </row>
    <row r="28" spans="2:112"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6"/>
      <c r="AC28" s="6"/>
      <c r="AD28" s="6"/>
      <c r="AE28" s="6"/>
      <c r="AF28" s="6"/>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Y28" s="47"/>
      <c r="BZ28" s="47"/>
      <c r="CA28" s="47"/>
      <c r="CB28" s="47"/>
      <c r="CC28" s="47"/>
      <c r="CD28" s="47"/>
      <c r="CE28" s="47"/>
      <c r="CF28" s="47"/>
      <c r="CH28" s="47"/>
      <c r="CI28" s="47"/>
      <c r="CJ28" s="47"/>
      <c r="CK28" s="47"/>
      <c r="CL28" s="47"/>
      <c r="CM28" s="47"/>
      <c r="CN28" s="47"/>
      <c r="CO28" s="47"/>
      <c r="CQ28" s="47">
        <f t="shared" si="49"/>
        <v>0</v>
      </c>
      <c r="CR28" s="47">
        <f t="shared" si="50"/>
        <v>0</v>
      </c>
      <c r="CS28" s="47">
        <f t="shared" si="51"/>
        <v>0</v>
      </c>
      <c r="CT28" s="47">
        <f t="shared" si="52"/>
        <v>0</v>
      </c>
      <c r="CU28" s="47">
        <f t="shared" si="53"/>
        <v>0</v>
      </c>
      <c r="CV28" s="47">
        <f t="shared" si="54"/>
        <v>0</v>
      </c>
      <c r="CW28" s="47">
        <f t="shared" si="55"/>
        <v>0</v>
      </c>
      <c r="CX28" s="47">
        <f t="shared" si="56"/>
        <v>0</v>
      </c>
      <c r="CZ28" s="6"/>
      <c r="DA28" s="6"/>
      <c r="DB28" s="6"/>
      <c r="DC28" s="6"/>
      <c r="DD28" s="6"/>
    </row>
    <row r="29" spans="2:112"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6"/>
      <c r="AC29" s="6"/>
      <c r="AD29" s="6"/>
      <c r="AE29" s="6"/>
      <c r="AF29" s="6"/>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Y29" s="47"/>
      <c r="BZ29" s="47"/>
      <c r="CA29" s="47"/>
      <c r="CB29" s="47"/>
      <c r="CC29" s="47"/>
      <c r="CD29" s="47"/>
      <c r="CE29" s="47"/>
      <c r="CF29" s="47"/>
      <c r="CH29" s="47"/>
      <c r="CI29" s="47"/>
      <c r="CJ29" s="47"/>
      <c r="CK29" s="47"/>
      <c r="CL29" s="47"/>
      <c r="CM29" s="47"/>
      <c r="CN29" s="47"/>
      <c r="CO29" s="47"/>
      <c r="CQ29" s="47">
        <f t="shared" si="49"/>
        <v>0</v>
      </c>
      <c r="CR29" s="47">
        <f t="shared" si="50"/>
        <v>0</v>
      </c>
      <c r="CS29" s="47">
        <f t="shared" si="51"/>
        <v>0</v>
      </c>
      <c r="CT29" s="47">
        <f t="shared" si="52"/>
        <v>0</v>
      </c>
      <c r="CU29" s="47">
        <f t="shared" si="53"/>
        <v>0</v>
      </c>
      <c r="CV29" s="47">
        <f t="shared" si="54"/>
        <v>0</v>
      </c>
      <c r="CW29" s="47">
        <f t="shared" si="55"/>
        <v>0</v>
      </c>
      <c r="CX29" s="47">
        <f t="shared" si="56"/>
        <v>0</v>
      </c>
      <c r="CZ29" s="6"/>
      <c r="DA29" s="6"/>
      <c r="DB29" s="6"/>
      <c r="DC29" s="6"/>
      <c r="DD29" s="6"/>
    </row>
    <row r="30" spans="2:112"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Y30" s="47"/>
      <c r="BZ30" s="47"/>
      <c r="CA30" s="47"/>
      <c r="CB30" s="47"/>
      <c r="CC30" s="47"/>
      <c r="CD30" s="47"/>
      <c r="CE30" s="47"/>
      <c r="CF30" s="47"/>
      <c r="CH30" s="47"/>
      <c r="CI30" s="47"/>
      <c r="CJ30" s="47"/>
      <c r="CK30" s="47"/>
      <c r="CL30" s="47"/>
      <c r="CM30" s="47"/>
      <c r="CN30" s="47"/>
      <c r="CO30" s="47"/>
      <c r="CQ30" s="47">
        <f t="shared" si="49"/>
        <v>0</v>
      </c>
      <c r="CR30" s="47">
        <f t="shared" si="50"/>
        <v>0</v>
      </c>
      <c r="CS30" s="47">
        <f t="shared" si="51"/>
        <v>0</v>
      </c>
      <c r="CT30" s="47">
        <f t="shared" si="52"/>
        <v>0</v>
      </c>
      <c r="CU30" s="47">
        <f t="shared" si="53"/>
        <v>0</v>
      </c>
      <c r="CV30" s="47">
        <f t="shared" si="54"/>
        <v>0</v>
      </c>
      <c r="CW30" s="47">
        <f t="shared" si="55"/>
        <v>0</v>
      </c>
      <c r="CX30" s="47">
        <f t="shared" si="56"/>
        <v>0</v>
      </c>
      <c r="CZ30" s="6"/>
      <c r="DA30" s="6"/>
      <c r="DB30" s="6"/>
      <c r="DC30" s="6"/>
      <c r="DD30" s="6"/>
    </row>
    <row r="31" spans="2:112"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6"/>
      <c r="AC31" s="6"/>
      <c r="AD31" s="6"/>
      <c r="AE31" s="6"/>
      <c r="AF31" s="6"/>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Y31" s="47"/>
      <c r="BZ31" s="47"/>
      <c r="CA31" s="47"/>
      <c r="CB31" s="47"/>
      <c r="CC31" s="47"/>
      <c r="CD31" s="47"/>
      <c r="CE31" s="47"/>
      <c r="CF31" s="47"/>
      <c r="CH31" s="47"/>
      <c r="CI31" s="47"/>
      <c r="CJ31" s="47"/>
      <c r="CK31" s="47"/>
      <c r="CL31" s="47"/>
      <c r="CM31" s="47"/>
      <c r="CN31" s="47"/>
      <c r="CO31" s="47"/>
      <c r="CQ31" s="47">
        <f t="shared" si="49"/>
        <v>0</v>
      </c>
      <c r="CR31" s="47">
        <f t="shared" si="50"/>
        <v>0</v>
      </c>
      <c r="CS31" s="47">
        <f t="shared" si="51"/>
        <v>0</v>
      </c>
      <c r="CT31" s="47">
        <f t="shared" si="52"/>
        <v>0</v>
      </c>
      <c r="CU31" s="47">
        <f t="shared" si="53"/>
        <v>0</v>
      </c>
      <c r="CV31" s="47">
        <f t="shared" si="54"/>
        <v>0</v>
      </c>
      <c r="CW31" s="47">
        <f t="shared" si="55"/>
        <v>0</v>
      </c>
      <c r="CX31" s="47">
        <f t="shared" si="56"/>
        <v>0</v>
      </c>
      <c r="CZ31" s="6"/>
      <c r="DA31" s="6"/>
      <c r="DB31" s="6"/>
      <c r="DC31" s="6"/>
      <c r="DD31" s="6"/>
    </row>
    <row r="32" spans="2:112"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47">
        <f t="shared" si="49"/>
        <v>0</v>
      </c>
      <c r="CR32" s="47">
        <f t="shared" si="50"/>
        <v>0</v>
      </c>
      <c r="CS32" s="47">
        <f t="shared" si="51"/>
        <v>0</v>
      </c>
      <c r="CT32" s="47">
        <f t="shared" si="52"/>
        <v>0</v>
      </c>
      <c r="CU32" s="47">
        <f t="shared" si="53"/>
        <v>0</v>
      </c>
      <c r="CV32" s="47">
        <f t="shared" si="54"/>
        <v>0</v>
      </c>
      <c r="CW32" s="47">
        <f t="shared" si="55"/>
        <v>0</v>
      </c>
      <c r="CX32" s="47">
        <f t="shared" si="56"/>
        <v>0</v>
      </c>
      <c r="CZ32" s="6"/>
      <c r="DA32" s="6"/>
      <c r="DB32" s="6"/>
      <c r="DC32" s="6"/>
      <c r="DD32" s="6"/>
    </row>
    <row r="33" spans="2:108"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47">
        <f t="shared" si="49"/>
        <v>0</v>
      </c>
      <c r="CR33" s="47">
        <f t="shared" si="50"/>
        <v>0</v>
      </c>
      <c r="CS33" s="47">
        <f t="shared" si="51"/>
        <v>0</v>
      </c>
      <c r="CT33" s="47">
        <f t="shared" si="52"/>
        <v>0</v>
      </c>
      <c r="CU33" s="47">
        <f t="shared" si="53"/>
        <v>0</v>
      </c>
      <c r="CV33" s="47">
        <f t="shared" si="54"/>
        <v>0</v>
      </c>
      <c r="CW33" s="47">
        <f t="shared" si="55"/>
        <v>0</v>
      </c>
      <c r="CX33" s="47">
        <f t="shared" si="56"/>
        <v>0</v>
      </c>
      <c r="CZ33" s="6"/>
      <c r="DA33" s="6"/>
      <c r="DB33" s="6"/>
      <c r="DC33" s="6"/>
      <c r="DD33" s="6"/>
    </row>
    <row r="34" spans="2:108"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47">
        <f t="shared" si="49"/>
        <v>0</v>
      </c>
      <c r="CR34" s="47">
        <f t="shared" si="50"/>
        <v>0</v>
      </c>
      <c r="CS34" s="47">
        <f t="shared" si="51"/>
        <v>0</v>
      </c>
      <c r="CT34" s="47">
        <f t="shared" si="52"/>
        <v>0</v>
      </c>
      <c r="CU34" s="47">
        <f t="shared" si="53"/>
        <v>0</v>
      </c>
      <c r="CV34" s="47">
        <f t="shared" si="54"/>
        <v>0</v>
      </c>
      <c r="CW34" s="47">
        <f t="shared" si="55"/>
        <v>0</v>
      </c>
      <c r="CX34" s="47">
        <f t="shared" si="56"/>
        <v>0</v>
      </c>
      <c r="CZ34" s="6"/>
      <c r="DA34" s="6"/>
      <c r="DB34" s="6"/>
      <c r="DC34" s="6"/>
      <c r="DD34" s="6"/>
    </row>
    <row r="35" spans="2:108"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47">
        <f t="shared" si="49"/>
        <v>0</v>
      </c>
      <c r="CR35" s="47">
        <f t="shared" si="50"/>
        <v>0</v>
      </c>
      <c r="CS35" s="47">
        <f t="shared" si="51"/>
        <v>0</v>
      </c>
      <c r="CT35" s="47">
        <f t="shared" si="52"/>
        <v>0</v>
      </c>
      <c r="CU35" s="47">
        <f t="shared" si="53"/>
        <v>0</v>
      </c>
      <c r="CV35" s="47">
        <f t="shared" si="54"/>
        <v>0</v>
      </c>
      <c r="CW35" s="47">
        <f t="shared" si="55"/>
        <v>0</v>
      </c>
      <c r="CX35" s="47">
        <f t="shared" si="56"/>
        <v>0</v>
      </c>
      <c r="CZ35" s="6"/>
      <c r="DA35" s="6"/>
      <c r="DB35" s="6"/>
      <c r="DC35" s="6"/>
      <c r="DD35" s="6"/>
    </row>
    <row r="36" spans="2:108"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47">
        <f t="shared" si="49"/>
        <v>0</v>
      </c>
      <c r="CR36" s="47">
        <f t="shared" si="50"/>
        <v>0</v>
      </c>
      <c r="CS36" s="47">
        <f t="shared" si="51"/>
        <v>0</v>
      </c>
      <c r="CT36" s="47">
        <f t="shared" si="52"/>
        <v>0</v>
      </c>
      <c r="CU36" s="47">
        <f t="shared" si="53"/>
        <v>0</v>
      </c>
      <c r="CV36" s="47">
        <f t="shared" si="54"/>
        <v>0</v>
      </c>
      <c r="CW36" s="47">
        <f t="shared" si="55"/>
        <v>0</v>
      </c>
      <c r="CX36" s="47">
        <f t="shared" si="56"/>
        <v>0</v>
      </c>
      <c r="CZ36" s="6"/>
      <c r="DA36" s="6"/>
      <c r="DB36" s="6"/>
      <c r="DC36" s="6"/>
      <c r="DD36" s="6"/>
    </row>
    <row r="37" spans="2:108" x14ac:dyDescent="0.3">
      <c r="J37" s="48">
        <f t="shared" ref="J37:Z37" si="59">SUM(J6:J36)</f>
        <v>0</v>
      </c>
      <c r="K37" s="48">
        <f t="shared" si="59"/>
        <v>1070</v>
      </c>
      <c r="L37" s="48">
        <f t="shared" si="59"/>
        <v>2539.0062499999999</v>
      </c>
      <c r="M37" s="48">
        <f t="shared" si="59"/>
        <v>12391.40625</v>
      </c>
      <c r="N37" s="48">
        <f t="shared" si="59"/>
        <v>23575.956249999999</v>
      </c>
      <c r="O37" s="48">
        <f t="shared" si="59"/>
        <v>22360.298749999998</v>
      </c>
      <c r="P37" s="48">
        <f t="shared" si="59"/>
        <v>8734.8649999999998</v>
      </c>
      <c r="Q37" s="48">
        <f t="shared" si="59"/>
        <v>2165.3624999999997</v>
      </c>
      <c r="S37" s="48">
        <f t="shared" si="59"/>
        <v>0</v>
      </c>
      <c r="T37" s="48">
        <f t="shared" si="59"/>
        <v>108.84137933534002</v>
      </c>
      <c r="U37" s="48">
        <f t="shared" si="59"/>
        <v>259.42650998394572</v>
      </c>
      <c r="V37" s="48">
        <f t="shared" si="59"/>
        <v>1278.2231301204388</v>
      </c>
      <c r="W37" s="48">
        <f t="shared" si="59"/>
        <v>2456.9064544535427</v>
      </c>
      <c r="X37" s="48">
        <f t="shared" si="59"/>
        <v>2355.3021149180508</v>
      </c>
      <c r="Y37" s="48">
        <f t="shared" si="59"/>
        <v>928.77879740291917</v>
      </c>
      <c r="Z37" s="48">
        <f t="shared" si="59"/>
        <v>232.26928351426869</v>
      </c>
      <c r="AB37" s="48"/>
      <c r="AC37" s="48"/>
      <c r="AD37" s="48"/>
      <c r="AE37" s="48"/>
      <c r="AF37" s="48"/>
      <c r="AG37" s="48">
        <f t="shared" ref="AG37:CR37" si="60">SUM(AG6:AG36)</f>
        <v>0</v>
      </c>
      <c r="AH37" s="48">
        <f t="shared" si="60"/>
        <v>11.764603008069484</v>
      </c>
      <c r="AI37" s="48">
        <f t="shared" si="60"/>
        <v>35.29380902420845</v>
      </c>
      <c r="AJ37" s="48">
        <f t="shared" si="60"/>
        <v>94.116824064555871</v>
      </c>
      <c r="AK37" s="48">
        <f t="shared" si="60"/>
        <v>0</v>
      </c>
      <c r="AL37" s="48">
        <f t="shared" si="60"/>
        <v>94.116824064555871</v>
      </c>
      <c r="AM37" s="48">
        <f t="shared" si="60"/>
        <v>235.29206016138966</v>
      </c>
      <c r="AN37" s="48">
        <f t="shared" si="60"/>
        <v>27.916262211455347</v>
      </c>
      <c r="AO37" s="48">
        <f t="shared" si="60"/>
        <v>83.748786634366013</v>
      </c>
      <c r="AP37" s="48">
        <f t="shared" si="60"/>
        <v>223.33009769164278</v>
      </c>
      <c r="AQ37" s="48">
        <f t="shared" si="60"/>
        <v>0</v>
      </c>
      <c r="AR37" s="48">
        <f t="shared" si="60"/>
        <v>223.33009769164278</v>
      </c>
      <c r="AS37" s="48">
        <f t="shared" si="60"/>
        <v>558.32524422910683</v>
      </c>
      <c r="AT37" s="48">
        <f t="shared" si="60"/>
        <v>136.24296751678597</v>
      </c>
      <c r="AU37" s="48">
        <f t="shared" si="60"/>
        <v>408.72890255035804</v>
      </c>
      <c r="AV37" s="48">
        <f t="shared" si="60"/>
        <v>1089.9437401342877</v>
      </c>
      <c r="AW37" s="48">
        <f t="shared" si="60"/>
        <v>0</v>
      </c>
      <c r="AX37" s="48">
        <f t="shared" si="60"/>
        <v>1089.9437401342877</v>
      </c>
      <c r="AY37" s="48">
        <f t="shared" si="60"/>
        <v>2724.8593503357197</v>
      </c>
      <c r="AZ37" s="48">
        <f t="shared" si="60"/>
        <v>259.21660356716302</v>
      </c>
      <c r="BA37" s="48">
        <f t="shared" si="60"/>
        <v>777.64981070148917</v>
      </c>
      <c r="BB37" s="48">
        <f t="shared" si="60"/>
        <v>2073.7328285373042</v>
      </c>
      <c r="BC37" s="48">
        <f t="shared" si="60"/>
        <v>0</v>
      </c>
      <c r="BD37" s="48">
        <f t="shared" si="60"/>
        <v>2073.7328285373042</v>
      </c>
      <c r="BE37" s="48">
        <f t="shared" si="60"/>
        <v>5184.3320713432613</v>
      </c>
      <c r="BF37" s="48">
        <f t="shared" si="60"/>
        <v>245.85050274353486</v>
      </c>
      <c r="BG37" s="48">
        <f t="shared" si="60"/>
        <v>737.55150823060455</v>
      </c>
      <c r="BH37" s="48">
        <f t="shared" si="60"/>
        <v>1966.8040219482789</v>
      </c>
      <c r="BI37" s="48">
        <f t="shared" si="60"/>
        <v>0</v>
      </c>
      <c r="BJ37" s="48">
        <f t="shared" si="60"/>
        <v>1966.8040219482789</v>
      </c>
      <c r="BK37" s="48">
        <f t="shared" si="60"/>
        <v>4917.0100548706978</v>
      </c>
      <c r="BL37" s="48">
        <f t="shared" si="60"/>
        <v>96.039457059888647</v>
      </c>
      <c r="BM37" s="48">
        <f t="shared" si="60"/>
        <v>288.11837117966593</v>
      </c>
      <c r="BN37" s="48">
        <f t="shared" si="60"/>
        <v>768.31565647910918</v>
      </c>
      <c r="BO37" s="48">
        <f t="shared" si="60"/>
        <v>0</v>
      </c>
      <c r="BP37" s="48">
        <f t="shared" si="60"/>
        <v>768.31565647910918</v>
      </c>
      <c r="BQ37" s="48">
        <f t="shared" si="60"/>
        <v>1920.789141197773</v>
      </c>
      <c r="BR37" s="48">
        <f t="shared" si="60"/>
        <v>23.808065589776497</v>
      </c>
      <c r="BS37" s="48">
        <f t="shared" si="60"/>
        <v>71.424196769329498</v>
      </c>
      <c r="BT37" s="48">
        <f t="shared" si="60"/>
        <v>190.46452471821198</v>
      </c>
      <c r="BU37" s="48">
        <f t="shared" si="60"/>
        <v>0</v>
      </c>
      <c r="BV37" s="48">
        <f t="shared" si="60"/>
        <v>190.46452471821198</v>
      </c>
      <c r="BW37" s="48">
        <f t="shared" si="60"/>
        <v>476.16131179553008</v>
      </c>
      <c r="BY37" s="48">
        <f t="shared" si="60"/>
        <v>0</v>
      </c>
      <c r="BZ37" s="48">
        <f t="shared" si="60"/>
        <v>642.08038314420514</v>
      </c>
      <c r="CA37" s="48">
        <f t="shared" si="60"/>
        <v>1530.416776647472</v>
      </c>
      <c r="CB37" s="48">
        <f t="shared" si="60"/>
        <v>7540.5328574794539</v>
      </c>
      <c r="CC37" s="48">
        <f t="shared" si="60"/>
        <v>14493.857458059503</v>
      </c>
      <c r="CD37" s="48">
        <f t="shared" si="60"/>
        <v>13894.470040733011</v>
      </c>
      <c r="CE37" s="48">
        <f t="shared" si="60"/>
        <v>5479.0801966532008</v>
      </c>
      <c r="CF37" s="48">
        <f t="shared" si="60"/>
        <v>1370.2100383346428</v>
      </c>
      <c r="CH37" s="48">
        <f t="shared" si="60"/>
        <v>0</v>
      </c>
      <c r="CI37" s="48">
        <f t="shared" si="60"/>
        <v>97.544572476894828</v>
      </c>
      <c r="CJ37" s="48">
        <f t="shared" si="60"/>
        <v>231.46381231066727</v>
      </c>
      <c r="CK37" s="48">
        <f t="shared" si="60"/>
        <v>1129.6396495736194</v>
      </c>
      <c r="CL37" s="48">
        <f t="shared" si="60"/>
        <v>2149.2584795703056</v>
      </c>
      <c r="CM37" s="48">
        <f t="shared" si="60"/>
        <v>2038.435310303174</v>
      </c>
      <c r="CN37" s="48">
        <f t="shared" si="60"/>
        <v>796.29782436298308</v>
      </c>
      <c r="CO37" s="48">
        <f t="shared" si="60"/>
        <v>197.40127039252357</v>
      </c>
      <c r="CQ37" s="48">
        <f t="shared" si="60"/>
        <v>0</v>
      </c>
      <c r="CR37" s="48">
        <f t="shared" si="60"/>
        <v>1083.7583951178297</v>
      </c>
      <c r="CS37" s="48">
        <f t="shared" ref="CS37:DD37" si="61">SUM(CS6:CS36)</f>
        <v>2579.6323431711921</v>
      </c>
      <c r="CT37" s="48">
        <f t="shared" si="61"/>
        <v>12673.254987509234</v>
      </c>
      <c r="CU37" s="48">
        <f t="shared" si="61"/>
        <v>24284.354463426615</v>
      </c>
      <c r="CV37" s="48">
        <f t="shared" si="61"/>
        <v>23205.217520824928</v>
      </c>
      <c r="CW37" s="48">
        <f t="shared" si="61"/>
        <v>9124.9459596168763</v>
      </c>
      <c r="CX37" s="48">
        <f t="shared" si="61"/>
        <v>2276.0419040369652</v>
      </c>
      <c r="CZ37" s="48">
        <f t="shared" si="61"/>
        <v>69227.888749999998</v>
      </c>
      <c r="DA37" s="48">
        <f t="shared" si="61"/>
        <v>71563.814835414611</v>
      </c>
      <c r="DB37" s="48">
        <f t="shared" si="61"/>
        <v>75698.61302590523</v>
      </c>
      <c r="DC37" s="48">
        <f t="shared" si="61"/>
        <v>79304.495007724181</v>
      </c>
      <c r="DD37" s="48">
        <f t="shared" si="61"/>
        <v>83886.532497059336</v>
      </c>
    </row>
    <row r="38" spans="2:108" x14ac:dyDescent="0.3">
      <c r="CQ38" s="85">
        <f t="shared" ref="CQ38:CX38" si="62">IF(ISERROR((CQ37-J37)/J37),0,(CQ37-J37)/J37)</f>
        <v>0</v>
      </c>
      <c r="CR38" s="85">
        <f t="shared" si="62"/>
        <v>1.2858313194233318E-2</v>
      </c>
      <c r="CS38" s="85">
        <f t="shared" si="62"/>
        <v>1.6000785020199231E-2</v>
      </c>
      <c r="CT38" s="85">
        <f t="shared" si="62"/>
        <v>2.2745500536650844E-2</v>
      </c>
      <c r="CU38" s="85">
        <f t="shared" si="62"/>
        <v>3.0047485918057525E-2</v>
      </c>
      <c r="CV38" s="85">
        <f t="shared" si="62"/>
        <v>3.7786560021919664E-2</v>
      </c>
      <c r="CW38" s="85">
        <f t="shared" si="62"/>
        <v>4.4657926552600015E-2</v>
      </c>
      <c r="CX38" s="85">
        <f t="shared" si="62"/>
        <v>5.1113568299518207E-2</v>
      </c>
    </row>
    <row r="39" spans="2:108" x14ac:dyDescent="0.3">
      <c r="J39" s="39"/>
      <c r="K39" s="39"/>
      <c r="L39" s="39"/>
      <c r="M39" s="39"/>
      <c r="N39" s="39"/>
      <c r="O39" s="39"/>
      <c r="P39" s="39"/>
      <c r="Q39" s="39"/>
    </row>
    <row r="40" spans="2:108" x14ac:dyDescent="0.3">
      <c r="J40" s="39"/>
      <c r="K40" s="39"/>
      <c r="L40" s="39"/>
      <c r="M40" s="39"/>
      <c r="N40" s="39"/>
      <c r="O40" s="39"/>
      <c r="P40" s="39"/>
      <c r="Q40" s="39"/>
    </row>
    <row r="41" spans="2:108" x14ac:dyDescent="0.3">
      <c r="D41" s="318"/>
      <c r="E41" s="24"/>
      <c r="F41" s="24"/>
      <c r="G41" s="24"/>
      <c r="H41" s="24"/>
      <c r="I41" s="24"/>
      <c r="J41" s="24"/>
      <c r="K41" s="24"/>
      <c r="L41" s="24"/>
      <c r="M41" s="319"/>
      <c r="N41" s="319"/>
      <c r="O41" s="319"/>
      <c r="P41" s="319"/>
      <c r="Q41" s="319"/>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319"/>
      <c r="CS41" s="319"/>
      <c r="CT41" s="319"/>
      <c r="CU41" s="319"/>
      <c r="CV41" s="319"/>
      <c r="CW41" s="319"/>
      <c r="CX41" s="319"/>
      <c r="CY41" s="24"/>
      <c r="CZ41" s="319"/>
      <c r="DA41" s="319"/>
      <c r="DB41" s="319"/>
      <c r="DC41" s="319"/>
      <c r="DD41" s="319"/>
    </row>
    <row r="42" spans="2:108" x14ac:dyDescent="0.3">
      <c r="Q42" s="51"/>
    </row>
    <row r="55" spans="13:17" x14ac:dyDescent="0.3">
      <c r="M55" s="39"/>
      <c r="N55" s="39"/>
      <c r="O55" s="39"/>
      <c r="P55" s="39"/>
      <c r="Q55" s="39"/>
    </row>
    <row r="56" spans="13:17" x14ac:dyDescent="0.3">
      <c r="M56" s="39"/>
      <c r="N56" s="39"/>
      <c r="O56" s="39"/>
      <c r="P56" s="39"/>
      <c r="Q56" s="39"/>
    </row>
    <row r="57" spans="13:17" x14ac:dyDescent="0.3">
      <c r="M57" s="39"/>
      <c r="N57" s="39"/>
      <c r="O57" s="39"/>
      <c r="P57" s="39"/>
      <c r="Q57" s="39"/>
    </row>
    <row r="58" spans="13:17" x14ac:dyDescent="0.3">
      <c r="M58" s="39"/>
      <c r="N58" s="39"/>
      <c r="O58" s="39"/>
      <c r="P58" s="39"/>
      <c r="Q58" s="39"/>
    </row>
    <row r="59" spans="13:17" x14ac:dyDescent="0.3">
      <c r="M59" s="39"/>
      <c r="N59" s="39"/>
      <c r="O59" s="39"/>
      <c r="P59" s="39"/>
      <c r="Q59" s="39"/>
    </row>
    <row r="60" spans="13:17" x14ac:dyDescent="0.3">
      <c r="M60" s="39"/>
      <c r="N60" s="39"/>
      <c r="O60" s="39"/>
      <c r="P60" s="39"/>
      <c r="Q60" s="39"/>
    </row>
    <row r="61" spans="13:17" x14ac:dyDescent="0.3">
      <c r="M61" s="39"/>
      <c r="N61" s="39"/>
      <c r="O61" s="39"/>
      <c r="P61" s="39"/>
      <c r="Q61" s="39"/>
    </row>
    <row r="62" spans="13:17" x14ac:dyDescent="0.3">
      <c r="M62" s="39"/>
      <c r="N62" s="39"/>
      <c r="O62" s="39"/>
      <c r="P62" s="39"/>
      <c r="Q62" s="39"/>
    </row>
  </sheetData>
  <mergeCells count="10">
    <mergeCell ref="J3:Q3"/>
    <mergeCell ref="S3:Z3"/>
    <mergeCell ref="BY3:CF3"/>
    <mergeCell ref="CQ3:CX3"/>
    <mergeCell ref="CH3:CO3"/>
    <mergeCell ref="CQ4:CX4"/>
    <mergeCell ref="BY4:CF4"/>
    <mergeCell ref="CH4:CO4"/>
    <mergeCell ref="S4:Z4"/>
    <mergeCell ref="J4:Q4"/>
  </mergeCells>
  <hyperlinks>
    <hyperlink ref="B2" location="Contents!A1" display="Table of Contents" xr:uid="{00000000-0004-0000-0A00-000000000000}"/>
  </hyperlinks>
  <pageMargins left="0.7" right="0.7" top="0.75" bottom="0.75" header="0.3" footer="0.3"/>
  <pageSetup paperSize="9" orientation="portrait" horizontalDpi="4294967292" verticalDpi="4294967292" r:id="rId1"/>
  <ignoredErrors>
    <ignoredError sqref="DC6:DC21" formula="1"/>
  </ignoredErrors>
  <extLst>
    <ext xmlns:x14="http://schemas.microsoft.com/office/spreadsheetml/2009/9/main" uri="{CCE6A557-97BC-4b89-ADB6-D9C93CAAB3DF}">
      <x14:dataValidations xmlns:xm="http://schemas.microsoft.com/office/excel/2006/main" count="5">
        <x14:dataValidation type="list" errorStyle="warning" showInputMessage="1" showErrorMessage="1" error="Invalid data entered" prompt="Select from drop down list" xr:uid="{00000000-0002-0000-0A00-000000000000}">
          <x14:formula1>
            <xm:f>Lookups!$C$5:$C$13</xm:f>
          </x14:formula1>
          <xm:sqref>E6:E36</xm:sqref>
        </x14:dataValidation>
        <x14:dataValidation type="list" errorStyle="warning" showInputMessage="1" showErrorMessage="1" error="Invalid data entered" prompt="Select from drop down list" xr:uid="{00000000-0002-0000-0A00-000001000000}">
          <x14:formula1>
            <xm:f>Lookups!$C$16:$C$27</xm:f>
          </x14:formula1>
          <xm:sqref>F6:F36</xm:sqref>
        </x14:dataValidation>
        <x14:dataValidation type="list" errorStyle="warning" allowBlank="1" showInputMessage="1" showErrorMessage="1" prompt="Select from drop down list" xr:uid="{00000000-0002-0000-0A00-000002000000}">
          <x14:formula1>
            <xm:f>Lab_Mat!$C$62:$C$98</xm:f>
          </x14:formula1>
          <xm:sqref>I6:I36</xm:sqref>
        </x14:dataValidation>
        <x14:dataValidation type="list" errorStyle="warning" showInputMessage="1" showErrorMessage="1" error="Invalid data entered" prompt="Select from drop down list" xr:uid="{00000000-0002-0000-0A00-000003000000}">
          <x14:formula1>
            <xm:f>Lookups!$I$5:$I$10</xm:f>
          </x14:formula1>
          <xm:sqref>G6:G36</xm:sqref>
        </x14:dataValidation>
        <x14:dataValidation type="list" errorStyle="warning" allowBlank="1" showInputMessage="1" showErrorMessage="1" prompt="Select from drop down list" xr:uid="{00000000-0002-0000-0A00-000004000000}">
          <x14:formula1>
            <xm:f>Lab_Mat!$C$13:$C$22</xm:f>
          </x14:formula1>
          <xm:sqref>H6:H36</xm:sqref>
        </x14:dataValidation>
      </x14:dataValidation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B1:DT42"/>
  <sheetViews>
    <sheetView zoomScale="70" zoomScaleNormal="70" zoomScalePageLayoutView="125" workbookViewId="0">
      <pane xSplit="9" topLeftCell="J1" activePane="topRight" state="frozen"/>
      <selection activeCell="K24" sqref="K24"/>
      <selection pane="topRight" activeCell="O15" sqref="O15"/>
    </sheetView>
  </sheetViews>
  <sheetFormatPr defaultColWidth="8.88671875" defaultRowHeight="14.4" outlineLevelRow="1" outlineLevelCol="1" x14ac:dyDescent="0.3"/>
  <cols>
    <col min="1" max="1" width="4" style="1" customWidth="1"/>
    <col min="2" max="2" width="11.6640625" style="1" customWidth="1"/>
    <col min="3" max="3" width="43.6640625" style="1" customWidth="1"/>
    <col min="4" max="4" width="30.6640625" style="1" customWidth="1"/>
    <col min="5" max="5" width="15.6640625" style="1" hidden="1" customWidth="1" outlineLevel="1"/>
    <col min="6" max="6" width="33.88671875" style="1" hidden="1" customWidth="1" outlineLevel="1"/>
    <col min="7" max="7" width="28.88671875" style="1" hidden="1" customWidth="1" outlineLevel="1"/>
    <col min="8" max="8" width="18" style="1" hidden="1" customWidth="1" outlineLevel="1"/>
    <col min="9" max="9" width="8.33203125" style="1" hidden="1" customWidth="1" outlineLevel="1"/>
    <col min="10" max="10" width="8.88671875" style="1" collapsed="1"/>
    <col min="11" max="17" width="8.88671875" style="1"/>
    <col min="18" max="18" width="9.44140625" style="1" customWidth="1"/>
    <col min="19" max="19" width="2.88671875" style="1" customWidth="1"/>
    <col min="20" max="27" width="9.5546875" style="1" customWidth="1"/>
    <col min="28" max="28" width="2.6640625" style="1" customWidth="1"/>
    <col min="29" max="30" width="8.88671875" style="1"/>
    <col min="31" max="32" width="9.109375" style="1" customWidth="1"/>
    <col min="33" max="33" width="3" style="1" customWidth="1"/>
    <col min="34" max="41" width="8.88671875" style="1"/>
    <col min="42" max="42" width="2.6640625" style="1" customWidth="1"/>
    <col min="43" max="47" width="10.44140625" style="1" hidden="1" customWidth="1" outlineLevel="1"/>
    <col min="48" max="48" width="8.88671875" style="1" collapsed="1"/>
    <col min="49" max="53" width="10.44140625" style="1" hidden="1" customWidth="1" outlineLevel="1"/>
    <col min="54" max="54" width="8.88671875" style="1" collapsed="1"/>
    <col min="55" max="59" width="8.88671875" style="1" hidden="1" customWidth="1" outlineLevel="1"/>
    <col min="60" max="60" width="8.88671875" style="1" collapsed="1"/>
    <col min="61" max="65" width="10.44140625" style="1" hidden="1" customWidth="1" outlineLevel="1"/>
    <col min="66" max="66" width="8.88671875" style="1" collapsed="1"/>
    <col min="67" max="71" width="9.109375" style="1" hidden="1" customWidth="1" outlineLevel="1"/>
    <col min="72" max="72" width="8.88671875" style="1" collapsed="1"/>
    <col min="73" max="77" width="9.109375" style="1" hidden="1" customWidth="1" outlineLevel="1"/>
    <col min="78" max="78" width="8.88671875" style="1" collapsed="1"/>
    <col min="79" max="83" width="9.109375" style="1" hidden="1" customWidth="1" outlineLevel="1"/>
    <col min="84" max="84" width="8.88671875" style="1" collapsed="1"/>
    <col min="85" max="89" width="9.109375" style="1" hidden="1" customWidth="1" outlineLevel="1"/>
    <col min="90" max="90" width="8.88671875" style="1" collapsed="1"/>
    <col min="91" max="91" width="2.6640625" style="1" customWidth="1"/>
    <col min="92" max="99" width="8.88671875" style="1"/>
    <col min="100" max="100" width="2.88671875" style="1" customWidth="1"/>
    <col min="101" max="108" width="8.88671875" style="1"/>
    <col min="109" max="109" width="2.88671875" style="1" customWidth="1"/>
    <col min="110" max="16384" width="8.88671875" style="1"/>
  </cols>
  <sheetData>
    <row r="1" spans="2:124" ht="18" x14ac:dyDescent="0.35">
      <c r="B1" s="10" t="s">
        <v>1</v>
      </c>
      <c r="M1" s="596" t="s">
        <v>749</v>
      </c>
      <c r="N1" s="596"/>
    </row>
    <row r="2" spans="2:124" x14ac:dyDescent="0.3">
      <c r="B2" s="25" t="s">
        <v>6</v>
      </c>
    </row>
    <row r="3" spans="2:124" x14ac:dyDescent="0.3">
      <c r="R3" s="67"/>
      <c r="T3" s="592"/>
      <c r="U3" s="592"/>
      <c r="V3" s="592"/>
      <c r="W3" s="592"/>
      <c r="X3" s="592"/>
      <c r="Y3" s="592"/>
      <c r="Z3" s="592"/>
      <c r="AA3" s="592"/>
      <c r="AH3" s="592"/>
      <c r="AI3" s="592"/>
      <c r="AJ3" s="592"/>
      <c r="AK3" s="592"/>
      <c r="AL3" s="592"/>
      <c r="AM3" s="592"/>
      <c r="AN3" s="592"/>
      <c r="AO3" s="592"/>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N3" s="592"/>
      <c r="CO3" s="592"/>
      <c r="CP3" s="592"/>
      <c r="CQ3" s="592"/>
      <c r="CR3" s="592"/>
      <c r="CS3" s="592"/>
      <c r="CT3" s="592"/>
      <c r="CU3" s="592"/>
      <c r="CW3" s="592"/>
      <c r="CX3" s="592"/>
      <c r="CY3" s="592"/>
      <c r="CZ3" s="592"/>
      <c r="DA3" s="592"/>
      <c r="DB3" s="592"/>
      <c r="DC3" s="592"/>
      <c r="DD3" s="592"/>
      <c r="DF3" s="592"/>
      <c r="DG3" s="592"/>
      <c r="DH3" s="592"/>
      <c r="DI3" s="592"/>
      <c r="DJ3" s="592"/>
      <c r="DK3" s="592"/>
      <c r="DL3" s="592"/>
      <c r="DM3" s="592"/>
    </row>
    <row r="4" spans="2:124" hidden="1" outlineLevel="1" x14ac:dyDescent="0.3">
      <c r="R4" s="67"/>
      <c r="T4" s="81"/>
      <c r="U4" s="224"/>
      <c r="V4" s="333"/>
      <c r="W4" s="81"/>
      <c r="X4" s="81"/>
      <c r="Y4" s="81"/>
      <c r="Z4" s="81"/>
      <c r="AA4" s="81"/>
      <c r="AC4" s="1" t="s">
        <v>174</v>
      </c>
      <c r="AD4" s="1" t="s">
        <v>173</v>
      </c>
      <c r="AE4" s="1" t="s">
        <v>297</v>
      </c>
      <c r="AF4" s="1" t="s">
        <v>175</v>
      </c>
      <c r="AH4" s="81"/>
      <c r="AI4" s="224"/>
      <c r="AJ4" s="333"/>
      <c r="AK4" s="81"/>
      <c r="AL4" s="81"/>
      <c r="AM4" s="81"/>
      <c r="AN4" s="81"/>
      <c r="AO4" s="81"/>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N4" s="81"/>
      <c r="CO4" s="224"/>
      <c r="CP4" s="333"/>
      <c r="CQ4" s="81"/>
      <c r="CR4" s="81"/>
      <c r="CS4" s="81"/>
      <c r="CT4" s="81"/>
      <c r="CU4" s="81"/>
      <c r="CW4" s="94"/>
      <c r="CX4" s="224"/>
      <c r="CY4" s="333"/>
      <c r="CZ4" s="94"/>
      <c r="DA4" s="94"/>
      <c r="DB4" s="94"/>
      <c r="DC4" s="94"/>
      <c r="DD4" s="94"/>
      <c r="DF4" s="81"/>
      <c r="DG4" s="224"/>
      <c r="DH4" s="333"/>
      <c r="DI4" s="81"/>
      <c r="DJ4" s="81"/>
      <c r="DK4" s="81"/>
      <c r="DL4" s="81"/>
      <c r="DM4" s="81"/>
    </row>
    <row r="5" spans="2:124" ht="57.6" collapsed="1" x14ac:dyDescent="0.3">
      <c r="J5" s="589" t="s">
        <v>385</v>
      </c>
      <c r="K5" s="590"/>
      <c r="L5" s="590"/>
      <c r="M5" s="590"/>
      <c r="N5" s="590"/>
      <c r="O5" s="590"/>
      <c r="P5" s="590"/>
      <c r="Q5" s="591"/>
      <c r="R5" s="9" t="s">
        <v>377</v>
      </c>
      <c r="T5" s="589" t="s">
        <v>386</v>
      </c>
      <c r="U5" s="590"/>
      <c r="V5" s="590"/>
      <c r="W5" s="590"/>
      <c r="X5" s="590"/>
      <c r="Y5" s="590"/>
      <c r="Z5" s="590"/>
      <c r="AA5" s="591"/>
      <c r="AC5" s="9" t="s">
        <v>381</v>
      </c>
      <c r="AD5" s="9" t="s">
        <v>382</v>
      </c>
      <c r="AE5" s="9" t="s">
        <v>383</v>
      </c>
      <c r="AF5" s="9" t="s">
        <v>384</v>
      </c>
      <c r="AG5" s="58"/>
      <c r="AH5" s="589" t="s">
        <v>174</v>
      </c>
      <c r="AI5" s="590"/>
      <c r="AJ5" s="590"/>
      <c r="AK5" s="590"/>
      <c r="AL5" s="590"/>
      <c r="AM5" s="590"/>
      <c r="AN5" s="590"/>
      <c r="AO5" s="591"/>
      <c r="AP5" s="58"/>
      <c r="AQ5" s="9" t="s">
        <v>180</v>
      </c>
      <c r="AR5" s="9" t="s">
        <v>181</v>
      </c>
      <c r="AS5" s="9" t="s">
        <v>182</v>
      </c>
      <c r="AT5" s="9" t="s">
        <v>183</v>
      </c>
      <c r="AU5" s="9" t="s">
        <v>5</v>
      </c>
      <c r="AV5" s="9" t="s">
        <v>173</v>
      </c>
      <c r="AW5" s="9" t="s">
        <v>180</v>
      </c>
      <c r="AX5" s="9" t="s">
        <v>181</v>
      </c>
      <c r="AY5" s="9" t="s">
        <v>182</v>
      </c>
      <c r="AZ5" s="9" t="s">
        <v>183</v>
      </c>
      <c r="BA5" s="9" t="s">
        <v>5</v>
      </c>
      <c r="BB5" s="9" t="s">
        <v>173</v>
      </c>
      <c r="BC5" s="9" t="s">
        <v>180</v>
      </c>
      <c r="BD5" s="9" t="s">
        <v>181</v>
      </c>
      <c r="BE5" s="9" t="s">
        <v>182</v>
      </c>
      <c r="BF5" s="9" t="s">
        <v>183</v>
      </c>
      <c r="BG5" s="9" t="s">
        <v>5</v>
      </c>
      <c r="BH5" s="9" t="s">
        <v>173</v>
      </c>
      <c r="BI5" s="9" t="s">
        <v>180</v>
      </c>
      <c r="BJ5" s="9" t="s">
        <v>181</v>
      </c>
      <c r="BK5" s="9" t="s">
        <v>182</v>
      </c>
      <c r="BL5" s="9" t="s">
        <v>183</v>
      </c>
      <c r="BM5" s="9" t="s">
        <v>5</v>
      </c>
      <c r="BN5" s="9" t="s">
        <v>173</v>
      </c>
      <c r="BO5" s="9" t="s">
        <v>180</v>
      </c>
      <c r="BP5" s="9" t="s">
        <v>181</v>
      </c>
      <c r="BQ5" s="9" t="s">
        <v>182</v>
      </c>
      <c r="BR5" s="9" t="s">
        <v>183</v>
      </c>
      <c r="BS5" s="9" t="s">
        <v>5</v>
      </c>
      <c r="BT5" s="9" t="s">
        <v>173</v>
      </c>
      <c r="BU5" s="9" t="s">
        <v>180</v>
      </c>
      <c r="BV5" s="9" t="s">
        <v>181</v>
      </c>
      <c r="BW5" s="9" t="s">
        <v>182</v>
      </c>
      <c r="BX5" s="9" t="s">
        <v>183</v>
      </c>
      <c r="BY5" s="9" t="s">
        <v>5</v>
      </c>
      <c r="BZ5" s="9" t="s">
        <v>173</v>
      </c>
      <c r="CA5" s="9" t="s">
        <v>180</v>
      </c>
      <c r="CB5" s="9" t="s">
        <v>181</v>
      </c>
      <c r="CC5" s="9" t="s">
        <v>182</v>
      </c>
      <c r="CD5" s="9" t="s">
        <v>183</v>
      </c>
      <c r="CE5" s="9" t="s">
        <v>5</v>
      </c>
      <c r="CF5" s="9" t="s">
        <v>173</v>
      </c>
      <c r="CG5" s="9" t="s">
        <v>180</v>
      </c>
      <c r="CH5" s="9" t="s">
        <v>181</v>
      </c>
      <c r="CI5" s="9" t="s">
        <v>182</v>
      </c>
      <c r="CJ5" s="9" t="s">
        <v>183</v>
      </c>
      <c r="CK5" s="9" t="s">
        <v>5</v>
      </c>
      <c r="CL5" s="9" t="s">
        <v>173</v>
      </c>
      <c r="CM5" s="58"/>
      <c r="CN5" s="589" t="s">
        <v>297</v>
      </c>
      <c r="CO5" s="590"/>
      <c r="CP5" s="590"/>
      <c r="CQ5" s="590"/>
      <c r="CR5" s="590"/>
      <c r="CS5" s="590"/>
      <c r="CT5" s="590"/>
      <c r="CU5" s="591"/>
      <c r="CV5" s="58"/>
      <c r="CW5" s="589" t="s">
        <v>175</v>
      </c>
      <c r="CX5" s="590"/>
      <c r="CY5" s="590"/>
      <c r="CZ5" s="590"/>
      <c r="DA5" s="590"/>
      <c r="DB5" s="590"/>
      <c r="DC5" s="590"/>
      <c r="DD5" s="591"/>
      <c r="DE5" s="58"/>
      <c r="DF5" s="589" t="s">
        <v>379</v>
      </c>
      <c r="DG5" s="590"/>
      <c r="DH5" s="590"/>
      <c r="DI5" s="590"/>
      <c r="DJ5" s="590"/>
      <c r="DK5" s="590"/>
      <c r="DL5" s="590"/>
      <c r="DM5" s="591"/>
    </row>
    <row r="6" spans="2:124" x14ac:dyDescent="0.3">
      <c r="B6" s="8" t="s">
        <v>23</v>
      </c>
      <c r="C6" s="8" t="s">
        <v>24</v>
      </c>
      <c r="D6" s="17" t="s">
        <v>98</v>
      </c>
      <c r="E6" s="17" t="s">
        <v>76</v>
      </c>
      <c r="F6" s="17" t="s">
        <v>77</v>
      </c>
      <c r="G6" s="17" t="s">
        <v>322</v>
      </c>
      <c r="H6" s="17" t="s">
        <v>212</v>
      </c>
      <c r="I6" s="17" t="s">
        <v>177</v>
      </c>
      <c r="J6" s="335">
        <f>CP_Yr_4</f>
        <v>43800</v>
      </c>
      <c r="K6" s="335">
        <f>CP_Yr_5</f>
        <v>44166</v>
      </c>
      <c r="L6" s="335">
        <f>Stub</f>
        <v>44377</v>
      </c>
      <c r="M6" s="335">
        <f>Yr_1</f>
        <v>44742</v>
      </c>
      <c r="N6" s="335">
        <f>Yr_2</f>
        <v>45107</v>
      </c>
      <c r="O6" s="335">
        <f>Yr_3</f>
        <v>45473</v>
      </c>
      <c r="P6" s="335">
        <f>Yr_4</f>
        <v>45838</v>
      </c>
      <c r="Q6" s="335">
        <f>Yr_5</f>
        <v>46203</v>
      </c>
      <c r="R6" s="17"/>
      <c r="T6" s="335">
        <f>CP_Yr_4</f>
        <v>43800</v>
      </c>
      <c r="U6" s="335">
        <f>CP_Yr_5</f>
        <v>44166</v>
      </c>
      <c r="V6" s="335">
        <f>Stub</f>
        <v>44377</v>
      </c>
      <c r="W6" s="335">
        <f>Yr_1</f>
        <v>44742</v>
      </c>
      <c r="X6" s="335">
        <f>Yr_2</f>
        <v>45107</v>
      </c>
      <c r="Y6" s="335">
        <f>Yr_3</f>
        <v>45473</v>
      </c>
      <c r="Z6" s="335">
        <f>Yr_4</f>
        <v>45838</v>
      </c>
      <c r="AA6" s="335">
        <f>Yr_5</f>
        <v>46203</v>
      </c>
      <c r="AB6" s="336"/>
      <c r="AC6" s="335"/>
      <c r="AD6" s="335"/>
      <c r="AE6" s="335"/>
      <c r="AF6" s="335"/>
      <c r="AG6" s="226"/>
      <c r="AH6" s="335">
        <f>CP_Yr_4</f>
        <v>43800</v>
      </c>
      <c r="AI6" s="335">
        <f>CP_Yr_5</f>
        <v>44166</v>
      </c>
      <c r="AJ6" s="335">
        <f>Stub</f>
        <v>44377</v>
      </c>
      <c r="AK6" s="335">
        <f>Yr_1</f>
        <v>44742</v>
      </c>
      <c r="AL6" s="335">
        <f>Yr_2</f>
        <v>45107</v>
      </c>
      <c r="AM6" s="335">
        <f>Yr_3</f>
        <v>45473</v>
      </c>
      <c r="AN6" s="335">
        <f>Yr_4</f>
        <v>45838</v>
      </c>
      <c r="AO6" s="335">
        <f>Yr_5</f>
        <v>46203</v>
      </c>
      <c r="AP6" s="336"/>
      <c r="AQ6" s="335">
        <f t="shared" ref="AQ6:AV6" si="0">CP_Yr_4</f>
        <v>43800</v>
      </c>
      <c r="AR6" s="335">
        <f t="shared" si="0"/>
        <v>43800</v>
      </c>
      <c r="AS6" s="335">
        <f t="shared" si="0"/>
        <v>43800</v>
      </c>
      <c r="AT6" s="335">
        <f t="shared" si="0"/>
        <v>43800</v>
      </c>
      <c r="AU6" s="335">
        <f t="shared" si="0"/>
        <v>43800</v>
      </c>
      <c r="AV6" s="335">
        <f t="shared" si="0"/>
        <v>43800</v>
      </c>
      <c r="AW6" s="335">
        <f t="shared" ref="AW6:BB6" si="1">CP_Yr_5</f>
        <v>44166</v>
      </c>
      <c r="AX6" s="335">
        <f t="shared" si="1"/>
        <v>44166</v>
      </c>
      <c r="AY6" s="335">
        <f t="shared" si="1"/>
        <v>44166</v>
      </c>
      <c r="AZ6" s="335">
        <f t="shared" si="1"/>
        <v>44166</v>
      </c>
      <c r="BA6" s="335">
        <f t="shared" si="1"/>
        <v>44166</v>
      </c>
      <c r="BB6" s="335">
        <f t="shared" si="1"/>
        <v>44166</v>
      </c>
      <c r="BC6" s="335">
        <f t="shared" ref="BC6:BH6" si="2">Stub</f>
        <v>44377</v>
      </c>
      <c r="BD6" s="335">
        <f t="shared" si="2"/>
        <v>44377</v>
      </c>
      <c r="BE6" s="335">
        <f t="shared" si="2"/>
        <v>44377</v>
      </c>
      <c r="BF6" s="335">
        <f t="shared" si="2"/>
        <v>44377</v>
      </c>
      <c r="BG6" s="335">
        <f t="shared" si="2"/>
        <v>44377</v>
      </c>
      <c r="BH6" s="335">
        <f t="shared" si="2"/>
        <v>44377</v>
      </c>
      <c r="BI6" s="335">
        <f t="shared" ref="BI6:BN6" si="3">Yr_1</f>
        <v>44742</v>
      </c>
      <c r="BJ6" s="335">
        <f t="shared" si="3"/>
        <v>44742</v>
      </c>
      <c r="BK6" s="335">
        <f t="shared" si="3"/>
        <v>44742</v>
      </c>
      <c r="BL6" s="335">
        <f t="shared" si="3"/>
        <v>44742</v>
      </c>
      <c r="BM6" s="335">
        <f t="shared" si="3"/>
        <v>44742</v>
      </c>
      <c r="BN6" s="335">
        <f t="shared" si="3"/>
        <v>44742</v>
      </c>
      <c r="BO6" s="335">
        <f t="shared" ref="BO6:BT6" si="4">Yr_2</f>
        <v>45107</v>
      </c>
      <c r="BP6" s="335">
        <f t="shared" si="4"/>
        <v>45107</v>
      </c>
      <c r="BQ6" s="335">
        <f t="shared" si="4"/>
        <v>45107</v>
      </c>
      <c r="BR6" s="335">
        <f t="shared" si="4"/>
        <v>45107</v>
      </c>
      <c r="BS6" s="335">
        <f t="shared" si="4"/>
        <v>45107</v>
      </c>
      <c r="BT6" s="335">
        <f t="shared" si="4"/>
        <v>45107</v>
      </c>
      <c r="BU6" s="335">
        <f t="shared" ref="BU6:BZ6" si="5">Yr_3</f>
        <v>45473</v>
      </c>
      <c r="BV6" s="335">
        <f t="shared" si="5"/>
        <v>45473</v>
      </c>
      <c r="BW6" s="335">
        <f t="shared" si="5"/>
        <v>45473</v>
      </c>
      <c r="BX6" s="335">
        <f t="shared" si="5"/>
        <v>45473</v>
      </c>
      <c r="BY6" s="335">
        <f t="shared" si="5"/>
        <v>45473</v>
      </c>
      <c r="BZ6" s="335">
        <f t="shared" si="5"/>
        <v>45473</v>
      </c>
      <c r="CA6" s="335">
        <f t="shared" ref="CA6:CF6" si="6">Yr_4</f>
        <v>45838</v>
      </c>
      <c r="CB6" s="335">
        <f t="shared" si="6"/>
        <v>45838</v>
      </c>
      <c r="CC6" s="335">
        <f t="shared" si="6"/>
        <v>45838</v>
      </c>
      <c r="CD6" s="335">
        <f t="shared" si="6"/>
        <v>45838</v>
      </c>
      <c r="CE6" s="335">
        <f t="shared" si="6"/>
        <v>45838</v>
      </c>
      <c r="CF6" s="335">
        <f t="shared" si="6"/>
        <v>45838</v>
      </c>
      <c r="CG6" s="335">
        <f t="shared" ref="CG6:CL6" si="7">Yr_5</f>
        <v>46203</v>
      </c>
      <c r="CH6" s="335">
        <f t="shared" si="7"/>
        <v>46203</v>
      </c>
      <c r="CI6" s="335">
        <f t="shared" si="7"/>
        <v>46203</v>
      </c>
      <c r="CJ6" s="335">
        <f t="shared" si="7"/>
        <v>46203</v>
      </c>
      <c r="CK6" s="335">
        <f t="shared" si="7"/>
        <v>46203</v>
      </c>
      <c r="CL6" s="335">
        <f t="shared" si="7"/>
        <v>46203</v>
      </c>
      <c r="CM6" s="336"/>
      <c r="CN6" s="335">
        <f>CP_Yr_4</f>
        <v>43800</v>
      </c>
      <c r="CO6" s="335">
        <f>CP_Yr_5</f>
        <v>44166</v>
      </c>
      <c r="CP6" s="335">
        <f>Stub</f>
        <v>44377</v>
      </c>
      <c r="CQ6" s="335">
        <f>Yr_1</f>
        <v>44742</v>
      </c>
      <c r="CR6" s="335">
        <f>Yr_2</f>
        <v>45107</v>
      </c>
      <c r="CS6" s="335">
        <f>Yr_3</f>
        <v>45473</v>
      </c>
      <c r="CT6" s="335">
        <f>Yr_4</f>
        <v>45838</v>
      </c>
      <c r="CU6" s="335">
        <f>Yr_5</f>
        <v>46203</v>
      </c>
      <c r="CV6" s="336"/>
      <c r="CW6" s="335">
        <f>CP_Yr_4</f>
        <v>43800</v>
      </c>
      <c r="CX6" s="335">
        <f>CP_Yr_5</f>
        <v>44166</v>
      </c>
      <c r="CY6" s="335">
        <f>Stub</f>
        <v>44377</v>
      </c>
      <c r="CZ6" s="335">
        <f>Yr_1</f>
        <v>44742</v>
      </c>
      <c r="DA6" s="335">
        <f>Yr_2</f>
        <v>45107</v>
      </c>
      <c r="DB6" s="335">
        <f>Yr_3</f>
        <v>45473</v>
      </c>
      <c r="DC6" s="335">
        <f>Yr_4</f>
        <v>45838</v>
      </c>
      <c r="DD6" s="335">
        <f>Yr_5</f>
        <v>46203</v>
      </c>
      <c r="DE6" s="336"/>
      <c r="DF6" s="335">
        <f>CP_Yr_4</f>
        <v>43800</v>
      </c>
      <c r="DG6" s="335">
        <f>CP_Yr_5</f>
        <v>44166</v>
      </c>
      <c r="DH6" s="335">
        <f>Stub</f>
        <v>44377</v>
      </c>
      <c r="DI6" s="335">
        <f>Yr_1</f>
        <v>44742</v>
      </c>
      <c r="DJ6" s="335">
        <f>Yr_2</f>
        <v>45107</v>
      </c>
      <c r="DK6" s="335">
        <f>Yr_3</f>
        <v>45473</v>
      </c>
      <c r="DL6" s="335">
        <f>Yr_4</f>
        <v>45838</v>
      </c>
      <c r="DM6" s="335">
        <f>Yr_5</f>
        <v>46203</v>
      </c>
    </row>
    <row r="7" spans="2:124" x14ac:dyDescent="0.3">
      <c r="B7" s="7"/>
      <c r="C7" s="7" t="s">
        <v>82</v>
      </c>
      <c r="D7" s="7" t="s">
        <v>106</v>
      </c>
      <c r="E7" s="7" t="s">
        <v>44</v>
      </c>
      <c r="F7" s="7" t="s">
        <v>130</v>
      </c>
      <c r="G7" s="7" t="s">
        <v>150</v>
      </c>
      <c r="H7" s="7" t="s">
        <v>5</v>
      </c>
      <c r="I7" s="7" t="s">
        <v>209</v>
      </c>
      <c r="J7" s="7"/>
      <c r="K7" s="7"/>
      <c r="L7" s="7"/>
      <c r="M7" s="576"/>
      <c r="N7" s="576"/>
      <c r="O7" s="576"/>
      <c r="P7" s="576"/>
      <c r="Q7" s="576"/>
      <c r="R7" s="574"/>
      <c r="S7" s="537"/>
      <c r="T7" s="573"/>
      <c r="U7" s="573"/>
      <c r="V7" s="573"/>
      <c r="W7" s="573"/>
      <c r="X7" s="573"/>
      <c r="Y7" s="573"/>
      <c r="Z7" s="573"/>
      <c r="AA7" s="573"/>
      <c r="AB7" s="537"/>
      <c r="AC7" s="574"/>
      <c r="AD7" s="574"/>
      <c r="AE7" s="574"/>
      <c r="AF7" s="574"/>
      <c r="AG7" s="537"/>
      <c r="AH7" s="573"/>
      <c r="AI7" s="573"/>
      <c r="AJ7" s="573"/>
      <c r="AK7" s="573"/>
      <c r="AL7" s="573"/>
      <c r="AM7" s="573"/>
      <c r="AN7" s="573"/>
      <c r="AO7" s="573"/>
      <c r="AP7" s="537"/>
      <c r="AQ7" s="573"/>
      <c r="AR7" s="573"/>
      <c r="AS7" s="573"/>
      <c r="AT7" s="573"/>
      <c r="AU7" s="573"/>
      <c r="AV7" s="573"/>
      <c r="AW7" s="573"/>
      <c r="AX7" s="573"/>
      <c r="AY7" s="573"/>
      <c r="AZ7" s="573"/>
      <c r="BA7" s="573"/>
      <c r="BB7" s="573"/>
      <c r="BC7" s="573"/>
      <c r="BD7" s="573"/>
      <c r="BE7" s="573"/>
      <c r="BF7" s="573"/>
      <c r="BG7" s="573"/>
      <c r="BH7" s="573"/>
      <c r="BI7" s="573"/>
      <c r="BJ7" s="573"/>
      <c r="BK7" s="573"/>
      <c r="BL7" s="573"/>
      <c r="BM7" s="573"/>
      <c r="BN7" s="573"/>
      <c r="BO7" s="573"/>
      <c r="BP7" s="573"/>
      <c r="BQ7" s="573"/>
      <c r="BR7" s="573"/>
      <c r="BS7" s="573"/>
      <c r="BT7" s="573"/>
      <c r="BU7" s="573"/>
      <c r="BV7" s="573"/>
      <c r="BW7" s="573"/>
      <c r="BX7" s="573"/>
      <c r="BY7" s="573"/>
      <c r="BZ7" s="573"/>
      <c r="CA7" s="573"/>
      <c r="CB7" s="573"/>
      <c r="CC7" s="573"/>
      <c r="CD7" s="573"/>
      <c r="CE7" s="573"/>
      <c r="CF7" s="573"/>
      <c r="CG7" s="573"/>
      <c r="CH7" s="573"/>
      <c r="CI7" s="573"/>
      <c r="CJ7" s="573"/>
      <c r="CK7" s="573"/>
      <c r="CL7" s="573"/>
      <c r="CM7" s="537"/>
      <c r="CN7" s="573"/>
      <c r="CO7" s="573"/>
      <c r="CP7" s="573"/>
      <c r="CQ7" s="573"/>
      <c r="CR7" s="573"/>
      <c r="CS7" s="573"/>
      <c r="CT7" s="573"/>
      <c r="CU7" s="573"/>
      <c r="CV7" s="537"/>
      <c r="CW7" s="574"/>
      <c r="CX7" s="574"/>
      <c r="CY7" s="574"/>
      <c r="CZ7" s="574"/>
      <c r="DA7" s="574"/>
      <c r="DB7" s="574"/>
      <c r="DC7" s="574"/>
      <c r="DD7" s="574"/>
      <c r="DE7" s="537"/>
      <c r="DF7" s="573"/>
      <c r="DG7" s="573"/>
      <c r="DH7" s="573"/>
      <c r="DI7" s="573"/>
      <c r="DJ7" s="573"/>
      <c r="DK7" s="573"/>
      <c r="DL7" s="573"/>
      <c r="DM7" s="573"/>
      <c r="DO7" s="39"/>
      <c r="DP7" s="39"/>
      <c r="DQ7" s="39"/>
      <c r="DR7" s="39"/>
      <c r="DS7" s="39"/>
      <c r="DT7" s="39"/>
    </row>
    <row r="8" spans="2:124" x14ac:dyDescent="0.3">
      <c r="B8" s="7"/>
      <c r="C8" s="7" t="s">
        <v>83</v>
      </c>
      <c r="D8" s="7" t="s">
        <v>106</v>
      </c>
      <c r="E8" s="7" t="s">
        <v>44</v>
      </c>
      <c r="F8" s="7" t="s">
        <v>130</v>
      </c>
      <c r="G8" s="7" t="s">
        <v>150</v>
      </c>
      <c r="H8" s="7" t="s">
        <v>5</v>
      </c>
      <c r="I8" s="7" t="s">
        <v>209</v>
      </c>
      <c r="J8" s="7"/>
      <c r="K8" s="7"/>
      <c r="L8" s="7"/>
      <c r="M8" s="576"/>
      <c r="N8" s="576"/>
      <c r="O8" s="576"/>
      <c r="P8" s="576"/>
      <c r="Q8" s="576"/>
      <c r="R8" s="574"/>
      <c r="S8" s="537"/>
      <c r="T8" s="573"/>
      <c r="U8" s="573"/>
      <c r="V8" s="573"/>
      <c r="W8" s="573"/>
      <c r="X8" s="573"/>
      <c r="Y8" s="573"/>
      <c r="Z8" s="573"/>
      <c r="AA8" s="573"/>
      <c r="AB8" s="537"/>
      <c r="AC8" s="574"/>
      <c r="AD8" s="574"/>
      <c r="AE8" s="574"/>
      <c r="AF8" s="574"/>
      <c r="AG8" s="537"/>
      <c r="AH8" s="573"/>
      <c r="AI8" s="573"/>
      <c r="AJ8" s="573"/>
      <c r="AK8" s="573"/>
      <c r="AL8" s="573"/>
      <c r="AM8" s="573"/>
      <c r="AN8" s="573"/>
      <c r="AO8" s="573"/>
      <c r="AP8" s="537"/>
      <c r="AQ8" s="573"/>
      <c r="AR8" s="573"/>
      <c r="AS8" s="573"/>
      <c r="AT8" s="573"/>
      <c r="AU8" s="573"/>
      <c r="AV8" s="573"/>
      <c r="AW8" s="573"/>
      <c r="AX8" s="573"/>
      <c r="AY8" s="573"/>
      <c r="AZ8" s="573"/>
      <c r="BA8" s="573"/>
      <c r="BB8" s="573"/>
      <c r="BC8" s="573"/>
      <c r="BD8" s="573"/>
      <c r="BE8" s="573"/>
      <c r="BF8" s="573"/>
      <c r="BG8" s="573"/>
      <c r="BH8" s="573"/>
      <c r="BI8" s="573"/>
      <c r="BJ8" s="573"/>
      <c r="BK8" s="573"/>
      <c r="BL8" s="573"/>
      <c r="BM8" s="573"/>
      <c r="BN8" s="573"/>
      <c r="BO8" s="573"/>
      <c r="BP8" s="573"/>
      <c r="BQ8" s="573"/>
      <c r="BR8" s="573"/>
      <c r="BS8" s="573"/>
      <c r="BT8" s="573"/>
      <c r="BU8" s="573"/>
      <c r="BV8" s="573"/>
      <c r="BW8" s="573"/>
      <c r="BX8" s="573"/>
      <c r="BY8" s="573"/>
      <c r="BZ8" s="573"/>
      <c r="CA8" s="573"/>
      <c r="CB8" s="573"/>
      <c r="CC8" s="573"/>
      <c r="CD8" s="573"/>
      <c r="CE8" s="573"/>
      <c r="CF8" s="573"/>
      <c r="CG8" s="573"/>
      <c r="CH8" s="573"/>
      <c r="CI8" s="573"/>
      <c r="CJ8" s="573"/>
      <c r="CK8" s="573"/>
      <c r="CL8" s="573"/>
      <c r="CM8" s="537"/>
      <c r="CN8" s="573"/>
      <c r="CO8" s="573"/>
      <c r="CP8" s="573"/>
      <c r="CQ8" s="573"/>
      <c r="CR8" s="573"/>
      <c r="CS8" s="573"/>
      <c r="CT8" s="573"/>
      <c r="CU8" s="573"/>
      <c r="CV8" s="537"/>
      <c r="CW8" s="574"/>
      <c r="CX8" s="574"/>
      <c r="CY8" s="574"/>
      <c r="CZ8" s="574"/>
      <c r="DA8" s="574"/>
      <c r="DB8" s="574"/>
      <c r="DC8" s="574"/>
      <c r="DD8" s="574"/>
      <c r="DE8" s="537"/>
      <c r="DF8" s="573"/>
      <c r="DG8" s="573"/>
      <c r="DH8" s="573"/>
      <c r="DI8" s="573"/>
      <c r="DJ8" s="573"/>
      <c r="DK8" s="573"/>
      <c r="DL8" s="573"/>
      <c r="DM8" s="573"/>
      <c r="DO8" s="39"/>
      <c r="DP8" s="39"/>
      <c r="DQ8" s="39"/>
      <c r="DR8" s="39"/>
      <c r="DS8" s="39"/>
      <c r="DT8" s="39"/>
    </row>
    <row r="9" spans="2:124" x14ac:dyDescent="0.3">
      <c r="B9" s="7"/>
      <c r="C9" s="7"/>
      <c r="D9" s="7"/>
      <c r="E9" s="7"/>
      <c r="F9" s="7"/>
      <c r="G9" s="7"/>
      <c r="H9" s="7"/>
      <c r="I9" s="7"/>
      <c r="J9" s="7"/>
      <c r="K9" s="7"/>
      <c r="L9" s="7"/>
      <c r="M9" s="576"/>
      <c r="N9" s="576"/>
      <c r="O9" s="576"/>
      <c r="P9" s="576"/>
      <c r="Q9" s="576"/>
      <c r="R9" s="574"/>
      <c r="S9" s="537"/>
      <c r="T9" s="573"/>
      <c r="U9" s="573"/>
      <c r="V9" s="573"/>
      <c r="W9" s="573"/>
      <c r="X9" s="573"/>
      <c r="Y9" s="573"/>
      <c r="Z9" s="573"/>
      <c r="AA9" s="573"/>
      <c r="AB9" s="537"/>
      <c r="AC9" s="574"/>
      <c r="AD9" s="574"/>
      <c r="AE9" s="574"/>
      <c r="AF9" s="574"/>
      <c r="AG9" s="537"/>
      <c r="AH9" s="573"/>
      <c r="AI9" s="573"/>
      <c r="AJ9" s="573"/>
      <c r="AK9" s="573"/>
      <c r="AL9" s="573"/>
      <c r="AM9" s="573"/>
      <c r="AN9" s="573"/>
      <c r="AO9" s="573"/>
      <c r="AP9" s="537"/>
      <c r="AQ9" s="573"/>
      <c r="AR9" s="573"/>
      <c r="AS9" s="573"/>
      <c r="AT9" s="573"/>
      <c r="AU9" s="573"/>
      <c r="AV9" s="573"/>
      <c r="AW9" s="573"/>
      <c r="AX9" s="573"/>
      <c r="AY9" s="573"/>
      <c r="AZ9" s="573"/>
      <c r="BA9" s="573"/>
      <c r="BB9" s="573"/>
      <c r="BC9" s="573"/>
      <c r="BD9" s="573"/>
      <c r="BE9" s="573"/>
      <c r="BF9" s="573"/>
      <c r="BG9" s="573"/>
      <c r="BH9" s="573"/>
      <c r="BI9" s="573"/>
      <c r="BJ9" s="573"/>
      <c r="BK9" s="573"/>
      <c r="BL9" s="573"/>
      <c r="BM9" s="573"/>
      <c r="BN9" s="573"/>
      <c r="BO9" s="573"/>
      <c r="BP9" s="573"/>
      <c r="BQ9" s="573"/>
      <c r="BR9" s="573"/>
      <c r="BS9" s="573"/>
      <c r="BT9" s="573"/>
      <c r="BU9" s="573"/>
      <c r="BV9" s="573"/>
      <c r="BW9" s="573"/>
      <c r="BX9" s="573"/>
      <c r="BY9" s="573"/>
      <c r="BZ9" s="573"/>
      <c r="CA9" s="573"/>
      <c r="CB9" s="573"/>
      <c r="CC9" s="573"/>
      <c r="CD9" s="573"/>
      <c r="CE9" s="573"/>
      <c r="CF9" s="573"/>
      <c r="CG9" s="573"/>
      <c r="CH9" s="573"/>
      <c r="CI9" s="573"/>
      <c r="CJ9" s="573"/>
      <c r="CK9" s="573"/>
      <c r="CL9" s="573"/>
      <c r="CM9" s="537"/>
      <c r="CN9" s="573"/>
      <c r="CO9" s="573"/>
      <c r="CP9" s="573"/>
      <c r="CQ9" s="573"/>
      <c r="CR9" s="573"/>
      <c r="CS9" s="573"/>
      <c r="CT9" s="573"/>
      <c r="CU9" s="573"/>
      <c r="CV9" s="537"/>
      <c r="CW9" s="574"/>
      <c r="CX9" s="574"/>
      <c r="CY9" s="574"/>
      <c r="CZ9" s="574"/>
      <c r="DA9" s="574"/>
      <c r="DB9" s="574"/>
      <c r="DC9" s="574"/>
      <c r="DD9" s="574"/>
      <c r="DE9" s="537"/>
      <c r="DF9" s="573"/>
      <c r="DG9" s="573"/>
      <c r="DH9" s="573"/>
      <c r="DI9" s="573"/>
      <c r="DJ9" s="573"/>
      <c r="DK9" s="573"/>
      <c r="DL9" s="573"/>
      <c r="DM9" s="573"/>
      <c r="DO9" s="39"/>
      <c r="DP9" s="39"/>
      <c r="DQ9" s="39"/>
      <c r="DR9" s="39"/>
      <c r="DS9" s="39"/>
      <c r="DT9" s="39"/>
    </row>
    <row r="10" spans="2:124" x14ac:dyDescent="0.3">
      <c r="B10" s="7"/>
      <c r="C10" s="7" t="s">
        <v>475</v>
      </c>
      <c r="D10" s="7" t="s">
        <v>186</v>
      </c>
      <c r="E10" s="7" t="s">
        <v>44</v>
      </c>
      <c r="F10" s="7" t="s">
        <v>54</v>
      </c>
      <c r="G10" s="7" t="s">
        <v>150</v>
      </c>
      <c r="H10" s="7" t="s">
        <v>160</v>
      </c>
      <c r="I10" s="7" t="s">
        <v>186</v>
      </c>
      <c r="J10" s="7"/>
      <c r="K10" s="7"/>
      <c r="L10" s="7"/>
      <c r="M10" s="576"/>
      <c r="N10" s="576"/>
      <c r="O10" s="576"/>
      <c r="P10" s="576"/>
      <c r="Q10" s="576"/>
      <c r="R10" s="574"/>
      <c r="S10" s="537"/>
      <c r="T10" s="573"/>
      <c r="U10" s="573"/>
      <c r="V10" s="573"/>
      <c r="W10" s="573"/>
      <c r="X10" s="573"/>
      <c r="Y10" s="573"/>
      <c r="Z10" s="573"/>
      <c r="AA10" s="573"/>
      <c r="AB10" s="537"/>
      <c r="AC10" s="574"/>
      <c r="AD10" s="574"/>
      <c r="AE10" s="574"/>
      <c r="AF10" s="574"/>
      <c r="AG10" s="537"/>
      <c r="AH10" s="573"/>
      <c r="AI10" s="573"/>
      <c r="AJ10" s="573"/>
      <c r="AK10" s="573"/>
      <c r="AL10" s="573"/>
      <c r="AM10" s="573"/>
      <c r="AN10" s="573"/>
      <c r="AO10" s="573"/>
      <c r="AP10" s="537"/>
      <c r="AQ10" s="573"/>
      <c r="AR10" s="573"/>
      <c r="AS10" s="573"/>
      <c r="AT10" s="573"/>
      <c r="AU10" s="573"/>
      <c r="AV10" s="573"/>
      <c r="AW10" s="573"/>
      <c r="AX10" s="573"/>
      <c r="AY10" s="573"/>
      <c r="AZ10" s="573"/>
      <c r="BA10" s="573"/>
      <c r="BB10" s="573"/>
      <c r="BC10" s="573"/>
      <c r="BD10" s="573"/>
      <c r="BE10" s="573"/>
      <c r="BF10" s="573"/>
      <c r="BG10" s="573"/>
      <c r="BH10" s="573"/>
      <c r="BI10" s="573"/>
      <c r="BJ10" s="573"/>
      <c r="BK10" s="573"/>
      <c r="BL10" s="573"/>
      <c r="BM10" s="573"/>
      <c r="BN10" s="573"/>
      <c r="BO10" s="573"/>
      <c r="BP10" s="573"/>
      <c r="BQ10" s="573"/>
      <c r="BR10" s="573"/>
      <c r="BS10" s="573"/>
      <c r="BT10" s="573"/>
      <c r="BU10" s="573"/>
      <c r="BV10" s="573"/>
      <c r="BW10" s="573"/>
      <c r="BX10" s="573"/>
      <c r="BY10" s="573"/>
      <c r="BZ10" s="573"/>
      <c r="CA10" s="573"/>
      <c r="CB10" s="573"/>
      <c r="CC10" s="573"/>
      <c r="CD10" s="573"/>
      <c r="CE10" s="573"/>
      <c r="CF10" s="573"/>
      <c r="CG10" s="573"/>
      <c r="CH10" s="573"/>
      <c r="CI10" s="573"/>
      <c r="CJ10" s="573"/>
      <c r="CK10" s="573"/>
      <c r="CL10" s="573"/>
      <c r="CM10" s="537"/>
      <c r="CN10" s="573"/>
      <c r="CO10" s="573"/>
      <c r="CP10" s="573"/>
      <c r="CQ10" s="573"/>
      <c r="CR10" s="573"/>
      <c r="CS10" s="573"/>
      <c r="CT10" s="573"/>
      <c r="CU10" s="573"/>
      <c r="CV10" s="537"/>
      <c r="CW10" s="574"/>
      <c r="CX10" s="574"/>
      <c r="CY10" s="574"/>
      <c r="CZ10" s="574"/>
      <c r="DA10" s="574"/>
      <c r="DB10" s="574"/>
      <c r="DC10" s="574"/>
      <c r="DD10" s="574"/>
      <c r="DE10" s="537"/>
      <c r="DF10" s="573"/>
      <c r="DG10" s="573"/>
      <c r="DH10" s="573"/>
      <c r="DI10" s="573"/>
      <c r="DJ10" s="573"/>
      <c r="DK10" s="573"/>
      <c r="DL10" s="573"/>
      <c r="DM10" s="573"/>
      <c r="DO10" s="39"/>
      <c r="DP10" s="39"/>
      <c r="DQ10" s="39"/>
      <c r="DR10" s="39"/>
      <c r="DS10" s="39"/>
      <c r="DT10" s="39"/>
    </row>
    <row r="11" spans="2:124" x14ac:dyDescent="0.3">
      <c r="B11" s="7"/>
      <c r="C11" s="7" t="s">
        <v>476</v>
      </c>
      <c r="D11" s="7" t="s">
        <v>186</v>
      </c>
      <c r="E11" s="7" t="s">
        <v>44</v>
      </c>
      <c r="F11" s="7" t="s">
        <v>54</v>
      </c>
      <c r="G11" s="7" t="s">
        <v>150</v>
      </c>
      <c r="H11" s="7" t="s">
        <v>160</v>
      </c>
      <c r="I11" s="7" t="s">
        <v>186</v>
      </c>
      <c r="J11" s="7"/>
      <c r="K11" s="7"/>
      <c r="L11" s="7"/>
      <c r="M11" s="576"/>
      <c r="N11" s="576"/>
      <c r="O11" s="576"/>
      <c r="P11" s="576"/>
      <c r="Q11" s="576"/>
      <c r="R11" s="574"/>
      <c r="S11" s="537"/>
      <c r="T11" s="573"/>
      <c r="U11" s="573"/>
      <c r="V11" s="573"/>
      <c r="W11" s="573"/>
      <c r="X11" s="573"/>
      <c r="Y11" s="573"/>
      <c r="Z11" s="573"/>
      <c r="AA11" s="573"/>
      <c r="AB11" s="537"/>
      <c r="AC11" s="574"/>
      <c r="AD11" s="574"/>
      <c r="AE11" s="574"/>
      <c r="AF11" s="574"/>
      <c r="AG11" s="537"/>
      <c r="AH11" s="573"/>
      <c r="AI11" s="573"/>
      <c r="AJ11" s="573"/>
      <c r="AK11" s="573"/>
      <c r="AL11" s="573"/>
      <c r="AM11" s="573"/>
      <c r="AN11" s="573"/>
      <c r="AO11" s="573"/>
      <c r="AP11" s="537"/>
      <c r="AQ11" s="573"/>
      <c r="AR11" s="573"/>
      <c r="AS11" s="573"/>
      <c r="AT11" s="573"/>
      <c r="AU11" s="573"/>
      <c r="AV11" s="573"/>
      <c r="AW11" s="573"/>
      <c r="AX11" s="573"/>
      <c r="AY11" s="573"/>
      <c r="AZ11" s="573"/>
      <c r="BA11" s="573"/>
      <c r="BB11" s="573"/>
      <c r="BC11" s="573"/>
      <c r="BD11" s="573"/>
      <c r="BE11" s="573"/>
      <c r="BF11" s="573"/>
      <c r="BG11" s="573"/>
      <c r="BH11" s="573"/>
      <c r="BI11" s="573"/>
      <c r="BJ11" s="573"/>
      <c r="BK11" s="573"/>
      <c r="BL11" s="573"/>
      <c r="BM11" s="573"/>
      <c r="BN11" s="573"/>
      <c r="BO11" s="573"/>
      <c r="BP11" s="573"/>
      <c r="BQ11" s="573"/>
      <c r="BR11" s="573"/>
      <c r="BS11" s="573"/>
      <c r="BT11" s="573"/>
      <c r="BU11" s="573"/>
      <c r="BV11" s="573"/>
      <c r="BW11" s="573"/>
      <c r="BX11" s="573"/>
      <c r="BY11" s="573"/>
      <c r="BZ11" s="573"/>
      <c r="CA11" s="573"/>
      <c r="CB11" s="573"/>
      <c r="CC11" s="573"/>
      <c r="CD11" s="573"/>
      <c r="CE11" s="573"/>
      <c r="CF11" s="573"/>
      <c r="CG11" s="573"/>
      <c r="CH11" s="573"/>
      <c r="CI11" s="573"/>
      <c r="CJ11" s="573"/>
      <c r="CK11" s="573"/>
      <c r="CL11" s="573"/>
      <c r="CM11" s="537"/>
      <c r="CN11" s="573"/>
      <c r="CO11" s="573"/>
      <c r="CP11" s="573"/>
      <c r="CQ11" s="573"/>
      <c r="CR11" s="573"/>
      <c r="CS11" s="573"/>
      <c r="CT11" s="573"/>
      <c r="CU11" s="573"/>
      <c r="CV11" s="537"/>
      <c r="CW11" s="574"/>
      <c r="CX11" s="574"/>
      <c r="CY11" s="574"/>
      <c r="CZ11" s="574"/>
      <c r="DA11" s="574"/>
      <c r="DB11" s="574"/>
      <c r="DC11" s="574"/>
      <c r="DD11" s="574"/>
      <c r="DE11" s="537"/>
      <c r="DF11" s="573"/>
      <c r="DG11" s="573"/>
      <c r="DH11" s="573"/>
      <c r="DI11" s="573"/>
      <c r="DJ11" s="573"/>
      <c r="DK11" s="573"/>
      <c r="DL11" s="573"/>
      <c r="DM11" s="573"/>
      <c r="DO11" s="39"/>
      <c r="DP11" s="39"/>
      <c r="DQ11" s="39"/>
      <c r="DR11" s="39"/>
      <c r="DS11" s="39"/>
      <c r="DT11" s="39"/>
    </row>
    <row r="12" spans="2:124" x14ac:dyDescent="0.3">
      <c r="B12" s="7"/>
      <c r="C12" s="7" t="s">
        <v>471</v>
      </c>
      <c r="D12" s="7" t="s">
        <v>186</v>
      </c>
      <c r="E12" s="7" t="s">
        <v>44</v>
      </c>
      <c r="F12" s="7" t="s">
        <v>54</v>
      </c>
      <c r="G12" s="7" t="s">
        <v>150</v>
      </c>
      <c r="H12" s="7" t="s">
        <v>160</v>
      </c>
      <c r="I12" s="7" t="s">
        <v>186</v>
      </c>
      <c r="J12" s="7"/>
      <c r="K12" s="7"/>
      <c r="L12" s="7"/>
      <c r="M12" s="576"/>
      <c r="N12" s="576"/>
      <c r="O12" s="576"/>
      <c r="P12" s="576"/>
      <c r="Q12" s="576"/>
      <c r="R12" s="574"/>
      <c r="S12" s="537"/>
      <c r="T12" s="573"/>
      <c r="U12" s="573"/>
      <c r="V12" s="573"/>
      <c r="W12" s="573"/>
      <c r="X12" s="573"/>
      <c r="Y12" s="573"/>
      <c r="Z12" s="573"/>
      <c r="AA12" s="573"/>
      <c r="AB12" s="537"/>
      <c r="AC12" s="574"/>
      <c r="AD12" s="574"/>
      <c r="AE12" s="574"/>
      <c r="AF12" s="574"/>
      <c r="AG12" s="537"/>
      <c r="AH12" s="573"/>
      <c r="AI12" s="573"/>
      <c r="AJ12" s="573"/>
      <c r="AK12" s="573"/>
      <c r="AL12" s="573"/>
      <c r="AM12" s="573"/>
      <c r="AN12" s="573"/>
      <c r="AO12" s="573"/>
      <c r="AP12" s="537"/>
      <c r="AQ12" s="573"/>
      <c r="AR12" s="573"/>
      <c r="AS12" s="573"/>
      <c r="AT12" s="573"/>
      <c r="AU12" s="573"/>
      <c r="AV12" s="573"/>
      <c r="AW12" s="573"/>
      <c r="AX12" s="573"/>
      <c r="AY12" s="573"/>
      <c r="AZ12" s="573"/>
      <c r="BA12" s="573"/>
      <c r="BB12" s="573"/>
      <c r="BC12" s="573"/>
      <c r="BD12" s="573"/>
      <c r="BE12" s="573"/>
      <c r="BF12" s="573"/>
      <c r="BG12" s="573"/>
      <c r="BH12" s="573"/>
      <c r="BI12" s="573"/>
      <c r="BJ12" s="573"/>
      <c r="BK12" s="573"/>
      <c r="BL12" s="573"/>
      <c r="BM12" s="573"/>
      <c r="BN12" s="573"/>
      <c r="BO12" s="573"/>
      <c r="BP12" s="573"/>
      <c r="BQ12" s="573"/>
      <c r="BR12" s="573"/>
      <c r="BS12" s="573"/>
      <c r="BT12" s="573"/>
      <c r="BU12" s="573"/>
      <c r="BV12" s="573"/>
      <c r="BW12" s="573"/>
      <c r="BX12" s="573"/>
      <c r="BY12" s="573"/>
      <c r="BZ12" s="573"/>
      <c r="CA12" s="573"/>
      <c r="CB12" s="573"/>
      <c r="CC12" s="573"/>
      <c r="CD12" s="573"/>
      <c r="CE12" s="573"/>
      <c r="CF12" s="573"/>
      <c r="CG12" s="573"/>
      <c r="CH12" s="573"/>
      <c r="CI12" s="573"/>
      <c r="CJ12" s="573"/>
      <c r="CK12" s="573"/>
      <c r="CL12" s="573"/>
      <c r="CM12" s="537"/>
      <c r="CN12" s="573"/>
      <c r="CO12" s="573"/>
      <c r="CP12" s="573"/>
      <c r="CQ12" s="573"/>
      <c r="CR12" s="573"/>
      <c r="CS12" s="573"/>
      <c r="CT12" s="573"/>
      <c r="CU12" s="573"/>
      <c r="CV12" s="537"/>
      <c r="CW12" s="574"/>
      <c r="CX12" s="574"/>
      <c r="CY12" s="574"/>
      <c r="CZ12" s="574"/>
      <c r="DA12" s="574"/>
      <c r="DB12" s="574"/>
      <c r="DC12" s="574"/>
      <c r="DD12" s="574"/>
      <c r="DE12" s="537"/>
      <c r="DF12" s="573"/>
      <c r="DG12" s="573"/>
      <c r="DH12" s="573"/>
      <c r="DI12" s="573"/>
      <c r="DJ12" s="573"/>
      <c r="DK12" s="573"/>
      <c r="DL12" s="573"/>
      <c r="DM12" s="573"/>
      <c r="DO12" s="39"/>
      <c r="DP12" s="39"/>
      <c r="DQ12" s="39"/>
      <c r="DR12" s="39"/>
      <c r="DS12" s="39"/>
      <c r="DT12" s="39"/>
    </row>
    <row r="13" spans="2:124" x14ac:dyDescent="0.3">
      <c r="B13" s="7"/>
      <c r="C13" s="7" t="s">
        <v>472</v>
      </c>
      <c r="D13" s="7" t="s">
        <v>186</v>
      </c>
      <c r="E13" s="7" t="s">
        <v>44</v>
      </c>
      <c r="F13" s="7" t="s">
        <v>54</v>
      </c>
      <c r="G13" s="7" t="s">
        <v>150</v>
      </c>
      <c r="H13" s="7" t="s">
        <v>160</v>
      </c>
      <c r="I13" s="7" t="s">
        <v>186</v>
      </c>
      <c r="J13" s="7"/>
      <c r="K13" s="7"/>
      <c r="L13" s="7"/>
      <c r="M13" s="576"/>
      <c r="N13" s="576"/>
      <c r="O13" s="576"/>
      <c r="P13" s="576"/>
      <c r="Q13" s="576"/>
      <c r="R13" s="574"/>
      <c r="S13" s="537"/>
      <c r="T13" s="573"/>
      <c r="U13" s="573"/>
      <c r="V13" s="573"/>
      <c r="W13" s="573"/>
      <c r="X13" s="573"/>
      <c r="Y13" s="573"/>
      <c r="Z13" s="573"/>
      <c r="AA13" s="573"/>
      <c r="AB13" s="537"/>
      <c r="AC13" s="574"/>
      <c r="AD13" s="574"/>
      <c r="AE13" s="574"/>
      <c r="AF13" s="574"/>
      <c r="AG13" s="537"/>
      <c r="AH13" s="573"/>
      <c r="AI13" s="573"/>
      <c r="AJ13" s="573"/>
      <c r="AK13" s="573"/>
      <c r="AL13" s="573"/>
      <c r="AM13" s="573"/>
      <c r="AN13" s="573"/>
      <c r="AO13" s="573"/>
      <c r="AP13" s="537"/>
      <c r="AQ13" s="573"/>
      <c r="AR13" s="573"/>
      <c r="AS13" s="573"/>
      <c r="AT13" s="573"/>
      <c r="AU13" s="573"/>
      <c r="AV13" s="573"/>
      <c r="AW13" s="573"/>
      <c r="AX13" s="573"/>
      <c r="AY13" s="573"/>
      <c r="AZ13" s="573"/>
      <c r="BA13" s="573"/>
      <c r="BB13" s="573"/>
      <c r="BC13" s="573"/>
      <c r="BD13" s="573"/>
      <c r="BE13" s="573"/>
      <c r="BF13" s="573"/>
      <c r="BG13" s="573"/>
      <c r="BH13" s="573"/>
      <c r="BI13" s="573"/>
      <c r="BJ13" s="573"/>
      <c r="BK13" s="573"/>
      <c r="BL13" s="573"/>
      <c r="BM13" s="573"/>
      <c r="BN13" s="573"/>
      <c r="BO13" s="573"/>
      <c r="BP13" s="573"/>
      <c r="BQ13" s="573"/>
      <c r="BR13" s="573"/>
      <c r="BS13" s="573"/>
      <c r="BT13" s="573"/>
      <c r="BU13" s="573"/>
      <c r="BV13" s="573"/>
      <c r="BW13" s="573"/>
      <c r="BX13" s="573"/>
      <c r="BY13" s="573"/>
      <c r="BZ13" s="573"/>
      <c r="CA13" s="573"/>
      <c r="CB13" s="573"/>
      <c r="CC13" s="573"/>
      <c r="CD13" s="573"/>
      <c r="CE13" s="573"/>
      <c r="CF13" s="573"/>
      <c r="CG13" s="573"/>
      <c r="CH13" s="573"/>
      <c r="CI13" s="573"/>
      <c r="CJ13" s="573"/>
      <c r="CK13" s="573"/>
      <c r="CL13" s="573"/>
      <c r="CM13" s="537"/>
      <c r="CN13" s="573"/>
      <c r="CO13" s="573"/>
      <c r="CP13" s="573"/>
      <c r="CQ13" s="573"/>
      <c r="CR13" s="573"/>
      <c r="CS13" s="573"/>
      <c r="CT13" s="573"/>
      <c r="CU13" s="573"/>
      <c r="CV13" s="537"/>
      <c r="CW13" s="574"/>
      <c r="CX13" s="574"/>
      <c r="CY13" s="574"/>
      <c r="CZ13" s="574"/>
      <c r="DA13" s="574"/>
      <c r="DB13" s="574"/>
      <c r="DC13" s="574"/>
      <c r="DD13" s="574"/>
      <c r="DE13" s="537"/>
      <c r="DF13" s="573"/>
      <c r="DG13" s="573"/>
      <c r="DH13" s="573"/>
      <c r="DI13" s="573"/>
      <c r="DJ13" s="573"/>
      <c r="DK13" s="573"/>
      <c r="DL13" s="573"/>
      <c r="DM13" s="573"/>
      <c r="DO13" s="39"/>
      <c r="DP13" s="39"/>
      <c r="DQ13" s="39"/>
      <c r="DR13" s="39"/>
      <c r="DS13" s="39"/>
      <c r="DT13" s="39"/>
    </row>
    <row r="14" spans="2:124" x14ac:dyDescent="0.3">
      <c r="B14" s="7"/>
      <c r="C14" s="7" t="s">
        <v>445</v>
      </c>
      <c r="D14" s="7" t="s">
        <v>243</v>
      </c>
      <c r="E14" s="7" t="s">
        <v>44</v>
      </c>
      <c r="F14" s="7" t="s">
        <v>53</v>
      </c>
      <c r="G14" s="7" t="s">
        <v>150</v>
      </c>
      <c r="H14" s="7" t="s">
        <v>5</v>
      </c>
      <c r="I14" s="7" t="s">
        <v>243</v>
      </c>
      <c r="J14" s="7"/>
      <c r="K14" s="7"/>
      <c r="L14" s="7"/>
      <c r="M14" s="576"/>
      <c r="N14" s="576"/>
      <c r="O14" s="576"/>
      <c r="P14" s="576"/>
      <c r="Q14" s="576"/>
      <c r="R14" s="574"/>
      <c r="S14" s="537"/>
      <c r="T14" s="573"/>
      <c r="U14" s="573"/>
      <c r="V14" s="573"/>
      <c r="W14" s="573"/>
      <c r="X14" s="573"/>
      <c r="Y14" s="573"/>
      <c r="Z14" s="573"/>
      <c r="AA14" s="573"/>
      <c r="AB14" s="537"/>
      <c r="AC14" s="574"/>
      <c r="AD14" s="574"/>
      <c r="AE14" s="574"/>
      <c r="AF14" s="574"/>
      <c r="AG14" s="537"/>
      <c r="AH14" s="573"/>
      <c r="AI14" s="573"/>
      <c r="AJ14" s="573"/>
      <c r="AK14" s="573"/>
      <c r="AL14" s="573"/>
      <c r="AM14" s="573"/>
      <c r="AN14" s="573"/>
      <c r="AO14" s="573"/>
      <c r="AP14" s="537"/>
      <c r="AQ14" s="573"/>
      <c r="AR14" s="573"/>
      <c r="AS14" s="573"/>
      <c r="AT14" s="573"/>
      <c r="AU14" s="573"/>
      <c r="AV14" s="573"/>
      <c r="AW14" s="573"/>
      <c r="AX14" s="573"/>
      <c r="AY14" s="573"/>
      <c r="AZ14" s="573"/>
      <c r="BA14" s="573"/>
      <c r="BB14" s="573"/>
      <c r="BC14" s="573"/>
      <c r="BD14" s="573"/>
      <c r="BE14" s="573"/>
      <c r="BF14" s="573"/>
      <c r="BG14" s="573"/>
      <c r="BH14" s="573"/>
      <c r="BI14" s="573"/>
      <c r="BJ14" s="573"/>
      <c r="BK14" s="573"/>
      <c r="BL14" s="573"/>
      <c r="BM14" s="573"/>
      <c r="BN14" s="573"/>
      <c r="BO14" s="573"/>
      <c r="BP14" s="573"/>
      <c r="BQ14" s="573"/>
      <c r="BR14" s="573"/>
      <c r="BS14" s="573"/>
      <c r="BT14" s="573"/>
      <c r="BU14" s="573"/>
      <c r="BV14" s="573"/>
      <c r="BW14" s="573"/>
      <c r="BX14" s="573"/>
      <c r="BY14" s="573"/>
      <c r="BZ14" s="573"/>
      <c r="CA14" s="573"/>
      <c r="CB14" s="573"/>
      <c r="CC14" s="573"/>
      <c r="CD14" s="573"/>
      <c r="CE14" s="573"/>
      <c r="CF14" s="573"/>
      <c r="CG14" s="573"/>
      <c r="CH14" s="573"/>
      <c r="CI14" s="573"/>
      <c r="CJ14" s="573"/>
      <c r="CK14" s="573"/>
      <c r="CL14" s="573"/>
      <c r="CM14" s="537"/>
      <c r="CN14" s="573"/>
      <c r="CO14" s="573"/>
      <c r="CP14" s="573"/>
      <c r="CQ14" s="573"/>
      <c r="CR14" s="573"/>
      <c r="CS14" s="573"/>
      <c r="CT14" s="573"/>
      <c r="CU14" s="573"/>
      <c r="CV14" s="537"/>
      <c r="CW14" s="574"/>
      <c r="CX14" s="574"/>
      <c r="CY14" s="574"/>
      <c r="CZ14" s="574"/>
      <c r="DA14" s="574"/>
      <c r="DB14" s="574"/>
      <c r="DC14" s="574"/>
      <c r="DD14" s="574"/>
      <c r="DE14" s="537"/>
      <c r="DF14" s="573"/>
      <c r="DG14" s="573"/>
      <c r="DH14" s="573"/>
      <c r="DI14" s="573"/>
      <c r="DJ14" s="573"/>
      <c r="DK14" s="573"/>
      <c r="DL14" s="573"/>
      <c r="DM14" s="573"/>
      <c r="DO14" s="39"/>
      <c r="DP14" s="39"/>
      <c r="DQ14" s="39"/>
      <c r="DR14" s="39"/>
      <c r="DS14" s="39"/>
      <c r="DT14" s="39"/>
    </row>
    <row r="15" spans="2:124" x14ac:dyDescent="0.3">
      <c r="B15" s="7"/>
      <c r="C15" s="7" t="s">
        <v>446</v>
      </c>
      <c r="D15" s="7" t="s">
        <v>473</v>
      </c>
      <c r="E15" s="7" t="s">
        <v>44</v>
      </c>
      <c r="F15" s="7" t="s">
        <v>53</v>
      </c>
      <c r="G15" s="7" t="s">
        <v>150</v>
      </c>
      <c r="H15" s="7" t="s">
        <v>5</v>
      </c>
      <c r="I15" s="7" t="s">
        <v>242</v>
      </c>
      <c r="J15" s="7"/>
      <c r="K15" s="7"/>
      <c r="L15" s="7"/>
      <c r="M15" s="576"/>
      <c r="N15" s="576"/>
      <c r="O15" s="576"/>
      <c r="P15" s="576"/>
      <c r="Q15" s="576"/>
      <c r="R15" s="574"/>
      <c r="S15" s="537"/>
      <c r="T15" s="573"/>
      <c r="U15" s="573"/>
      <c r="V15" s="573"/>
      <c r="W15" s="573"/>
      <c r="X15" s="573"/>
      <c r="Y15" s="573"/>
      <c r="Z15" s="573"/>
      <c r="AA15" s="573"/>
      <c r="AB15" s="537"/>
      <c r="AC15" s="574"/>
      <c r="AD15" s="574"/>
      <c r="AE15" s="574"/>
      <c r="AF15" s="574"/>
      <c r="AG15" s="537"/>
      <c r="AH15" s="573"/>
      <c r="AI15" s="573"/>
      <c r="AJ15" s="573"/>
      <c r="AK15" s="573"/>
      <c r="AL15" s="573"/>
      <c r="AM15" s="573"/>
      <c r="AN15" s="573"/>
      <c r="AO15" s="573"/>
      <c r="AP15" s="537"/>
      <c r="AQ15" s="573"/>
      <c r="AR15" s="573"/>
      <c r="AS15" s="573"/>
      <c r="AT15" s="573"/>
      <c r="AU15" s="573"/>
      <c r="AV15" s="573"/>
      <c r="AW15" s="573"/>
      <c r="AX15" s="573"/>
      <c r="AY15" s="573"/>
      <c r="AZ15" s="573"/>
      <c r="BA15" s="573"/>
      <c r="BB15" s="573"/>
      <c r="BC15" s="573"/>
      <c r="BD15" s="573"/>
      <c r="BE15" s="573"/>
      <c r="BF15" s="573"/>
      <c r="BG15" s="573"/>
      <c r="BH15" s="573"/>
      <c r="BI15" s="573"/>
      <c r="BJ15" s="573"/>
      <c r="BK15" s="573"/>
      <c r="BL15" s="573"/>
      <c r="BM15" s="573"/>
      <c r="BN15" s="573"/>
      <c r="BO15" s="573"/>
      <c r="BP15" s="573"/>
      <c r="BQ15" s="573"/>
      <c r="BR15" s="573"/>
      <c r="BS15" s="573"/>
      <c r="BT15" s="573"/>
      <c r="BU15" s="573"/>
      <c r="BV15" s="573"/>
      <c r="BW15" s="573"/>
      <c r="BX15" s="573"/>
      <c r="BY15" s="573"/>
      <c r="BZ15" s="573"/>
      <c r="CA15" s="573"/>
      <c r="CB15" s="573"/>
      <c r="CC15" s="573"/>
      <c r="CD15" s="573"/>
      <c r="CE15" s="573"/>
      <c r="CF15" s="573"/>
      <c r="CG15" s="573"/>
      <c r="CH15" s="573"/>
      <c r="CI15" s="573"/>
      <c r="CJ15" s="573"/>
      <c r="CK15" s="573"/>
      <c r="CL15" s="573"/>
      <c r="CM15" s="537"/>
      <c r="CN15" s="573"/>
      <c r="CO15" s="573"/>
      <c r="CP15" s="573"/>
      <c r="CQ15" s="573"/>
      <c r="CR15" s="573"/>
      <c r="CS15" s="573"/>
      <c r="CT15" s="573"/>
      <c r="CU15" s="573"/>
      <c r="CV15" s="537"/>
      <c r="CW15" s="574"/>
      <c r="CX15" s="574"/>
      <c r="CY15" s="574"/>
      <c r="CZ15" s="574"/>
      <c r="DA15" s="574"/>
      <c r="DB15" s="574"/>
      <c r="DC15" s="574"/>
      <c r="DD15" s="574"/>
      <c r="DE15" s="537"/>
      <c r="DF15" s="573"/>
      <c r="DG15" s="573"/>
      <c r="DH15" s="573"/>
      <c r="DI15" s="573"/>
      <c r="DJ15" s="573"/>
      <c r="DK15" s="573"/>
      <c r="DL15" s="573"/>
      <c r="DM15" s="573"/>
      <c r="DO15" s="39"/>
      <c r="DP15" s="39"/>
      <c r="DQ15" s="39"/>
      <c r="DR15" s="39"/>
      <c r="DS15" s="39"/>
      <c r="DT15" s="39"/>
    </row>
    <row r="16" spans="2:124" x14ac:dyDescent="0.3">
      <c r="B16" s="7"/>
      <c r="C16" s="7" t="s">
        <v>84</v>
      </c>
      <c r="D16" s="7" t="s">
        <v>204</v>
      </c>
      <c r="E16" s="7" t="s">
        <v>44</v>
      </c>
      <c r="F16" s="7" t="s">
        <v>130</v>
      </c>
      <c r="G16" s="7" t="s">
        <v>150</v>
      </c>
      <c r="H16" s="7" t="s">
        <v>5</v>
      </c>
      <c r="I16" s="7" t="s">
        <v>204</v>
      </c>
      <c r="J16" s="7"/>
      <c r="K16" s="7"/>
      <c r="L16" s="7"/>
      <c r="M16" s="576"/>
      <c r="N16" s="576"/>
      <c r="O16" s="576"/>
      <c r="P16" s="576"/>
      <c r="Q16" s="576"/>
      <c r="R16" s="574"/>
      <c r="S16" s="537"/>
      <c r="T16" s="573"/>
      <c r="U16" s="573"/>
      <c r="V16" s="573"/>
      <c r="W16" s="573"/>
      <c r="X16" s="573"/>
      <c r="Y16" s="573"/>
      <c r="Z16" s="573"/>
      <c r="AA16" s="573"/>
      <c r="AB16" s="537"/>
      <c r="AC16" s="574"/>
      <c r="AD16" s="574"/>
      <c r="AE16" s="574"/>
      <c r="AF16" s="574"/>
      <c r="AG16" s="537"/>
      <c r="AH16" s="573"/>
      <c r="AI16" s="573"/>
      <c r="AJ16" s="573"/>
      <c r="AK16" s="573"/>
      <c r="AL16" s="573"/>
      <c r="AM16" s="573"/>
      <c r="AN16" s="573"/>
      <c r="AO16" s="573"/>
      <c r="AP16" s="537"/>
      <c r="AQ16" s="573"/>
      <c r="AR16" s="573"/>
      <c r="AS16" s="573"/>
      <c r="AT16" s="573"/>
      <c r="AU16" s="573"/>
      <c r="AV16" s="573"/>
      <c r="AW16" s="573"/>
      <c r="AX16" s="573"/>
      <c r="AY16" s="573"/>
      <c r="AZ16" s="573"/>
      <c r="BA16" s="573"/>
      <c r="BB16" s="573"/>
      <c r="BC16" s="573"/>
      <c r="BD16" s="573"/>
      <c r="BE16" s="573"/>
      <c r="BF16" s="573"/>
      <c r="BG16" s="573"/>
      <c r="BH16" s="573"/>
      <c r="BI16" s="573"/>
      <c r="BJ16" s="573"/>
      <c r="BK16" s="573"/>
      <c r="BL16" s="573"/>
      <c r="BM16" s="573"/>
      <c r="BN16" s="573"/>
      <c r="BO16" s="573"/>
      <c r="BP16" s="573"/>
      <c r="BQ16" s="573"/>
      <c r="BR16" s="573"/>
      <c r="BS16" s="573"/>
      <c r="BT16" s="573"/>
      <c r="BU16" s="573"/>
      <c r="BV16" s="573"/>
      <c r="BW16" s="573"/>
      <c r="BX16" s="573"/>
      <c r="BY16" s="573"/>
      <c r="BZ16" s="573"/>
      <c r="CA16" s="573"/>
      <c r="CB16" s="573"/>
      <c r="CC16" s="573"/>
      <c r="CD16" s="573"/>
      <c r="CE16" s="573"/>
      <c r="CF16" s="573"/>
      <c r="CG16" s="573"/>
      <c r="CH16" s="573"/>
      <c r="CI16" s="573"/>
      <c r="CJ16" s="573"/>
      <c r="CK16" s="573"/>
      <c r="CL16" s="573"/>
      <c r="CM16" s="537"/>
      <c r="CN16" s="573"/>
      <c r="CO16" s="573"/>
      <c r="CP16" s="573"/>
      <c r="CQ16" s="573"/>
      <c r="CR16" s="573"/>
      <c r="CS16" s="573"/>
      <c r="CT16" s="573"/>
      <c r="CU16" s="573"/>
      <c r="CV16" s="537"/>
      <c r="CW16" s="574"/>
      <c r="CX16" s="574"/>
      <c r="CY16" s="574"/>
      <c r="CZ16" s="574"/>
      <c r="DA16" s="574"/>
      <c r="DB16" s="574"/>
      <c r="DC16" s="574"/>
      <c r="DD16" s="574"/>
      <c r="DE16" s="537"/>
      <c r="DF16" s="573"/>
      <c r="DG16" s="573"/>
      <c r="DH16" s="573"/>
      <c r="DI16" s="573"/>
      <c r="DJ16" s="573"/>
      <c r="DK16" s="573"/>
      <c r="DL16" s="573"/>
      <c r="DM16" s="573"/>
      <c r="DO16" s="39"/>
      <c r="DP16" s="39"/>
      <c r="DQ16" s="39"/>
      <c r="DR16" s="39"/>
      <c r="DS16" s="39"/>
      <c r="DT16" s="39"/>
    </row>
    <row r="17" spans="2:119" x14ac:dyDescent="0.3">
      <c r="B17" s="7"/>
      <c r="C17" s="7" t="s">
        <v>256</v>
      </c>
      <c r="D17" s="7" t="s">
        <v>247</v>
      </c>
      <c r="E17" s="7" t="s">
        <v>44</v>
      </c>
      <c r="F17" s="7" t="s">
        <v>54</v>
      </c>
      <c r="G17" s="7" t="s">
        <v>150</v>
      </c>
      <c r="H17" s="7" t="s">
        <v>160</v>
      </c>
      <c r="I17" s="7" t="s">
        <v>247</v>
      </c>
      <c r="J17" s="7"/>
      <c r="K17" s="7"/>
      <c r="L17" s="7"/>
      <c r="M17" s="576"/>
      <c r="N17" s="576"/>
      <c r="O17" s="576"/>
      <c r="P17" s="576"/>
      <c r="Q17" s="576"/>
      <c r="R17" s="574"/>
      <c r="S17" s="537"/>
      <c r="T17" s="573"/>
      <c r="U17" s="573"/>
      <c r="V17" s="573"/>
      <c r="W17" s="573"/>
      <c r="X17" s="573"/>
      <c r="Y17" s="573"/>
      <c r="Z17" s="573"/>
      <c r="AA17" s="573"/>
      <c r="AB17" s="537"/>
      <c r="AC17" s="574"/>
      <c r="AD17" s="574"/>
      <c r="AE17" s="574"/>
      <c r="AF17" s="574"/>
      <c r="AG17" s="537"/>
      <c r="AH17" s="573"/>
      <c r="AI17" s="573"/>
      <c r="AJ17" s="573"/>
      <c r="AK17" s="573"/>
      <c r="AL17" s="573"/>
      <c r="AM17" s="573"/>
      <c r="AN17" s="573"/>
      <c r="AO17" s="573"/>
      <c r="AP17" s="537"/>
      <c r="AQ17" s="573"/>
      <c r="AR17" s="573"/>
      <c r="AS17" s="573"/>
      <c r="AT17" s="573"/>
      <c r="AU17" s="573"/>
      <c r="AV17" s="573"/>
      <c r="AW17" s="573"/>
      <c r="AX17" s="573"/>
      <c r="AY17" s="573"/>
      <c r="AZ17" s="573"/>
      <c r="BA17" s="573"/>
      <c r="BB17" s="573"/>
      <c r="BC17" s="573"/>
      <c r="BD17" s="573"/>
      <c r="BE17" s="573"/>
      <c r="BF17" s="573"/>
      <c r="BG17" s="573"/>
      <c r="BH17" s="573"/>
      <c r="BI17" s="573"/>
      <c r="BJ17" s="573"/>
      <c r="BK17" s="573"/>
      <c r="BL17" s="573"/>
      <c r="BM17" s="573"/>
      <c r="BN17" s="573"/>
      <c r="BO17" s="573"/>
      <c r="BP17" s="573"/>
      <c r="BQ17" s="573"/>
      <c r="BR17" s="573"/>
      <c r="BS17" s="573"/>
      <c r="BT17" s="573"/>
      <c r="BU17" s="573"/>
      <c r="BV17" s="573"/>
      <c r="BW17" s="573"/>
      <c r="BX17" s="573"/>
      <c r="BY17" s="573"/>
      <c r="BZ17" s="573"/>
      <c r="CA17" s="573"/>
      <c r="CB17" s="573"/>
      <c r="CC17" s="573"/>
      <c r="CD17" s="573"/>
      <c r="CE17" s="573"/>
      <c r="CF17" s="573"/>
      <c r="CG17" s="573"/>
      <c r="CH17" s="573"/>
      <c r="CI17" s="573"/>
      <c r="CJ17" s="573"/>
      <c r="CK17" s="573"/>
      <c r="CL17" s="573"/>
      <c r="CM17" s="537"/>
      <c r="CN17" s="573"/>
      <c r="CO17" s="573"/>
      <c r="CP17" s="573"/>
      <c r="CQ17" s="573"/>
      <c r="CR17" s="573"/>
      <c r="CS17" s="573"/>
      <c r="CT17" s="573"/>
      <c r="CU17" s="573"/>
      <c r="CV17" s="537"/>
      <c r="CW17" s="574"/>
      <c r="CX17" s="574"/>
      <c r="CY17" s="574"/>
      <c r="CZ17" s="574"/>
      <c r="DA17" s="574"/>
      <c r="DB17" s="574"/>
      <c r="DC17" s="574"/>
      <c r="DD17" s="574"/>
      <c r="DE17" s="537"/>
      <c r="DF17" s="573"/>
      <c r="DG17" s="573"/>
      <c r="DH17" s="573"/>
      <c r="DI17" s="573"/>
      <c r="DJ17" s="573"/>
      <c r="DK17" s="573"/>
      <c r="DL17" s="573"/>
      <c r="DM17" s="573"/>
      <c r="DO17" s="39"/>
    </row>
    <row r="18" spans="2:119" x14ac:dyDescent="0.3">
      <c r="B18" s="7"/>
      <c r="C18" s="7" t="s">
        <v>469</v>
      </c>
      <c r="D18" s="7" t="s">
        <v>247</v>
      </c>
      <c r="E18" s="7" t="s">
        <v>44</v>
      </c>
      <c r="F18" s="7" t="s">
        <v>54</v>
      </c>
      <c r="G18" s="7" t="s">
        <v>150</v>
      </c>
      <c r="H18" s="7" t="s">
        <v>160</v>
      </c>
      <c r="I18" s="7" t="s">
        <v>247</v>
      </c>
      <c r="J18" s="7"/>
      <c r="K18" s="7"/>
      <c r="L18" s="7"/>
      <c r="M18" s="576"/>
      <c r="N18" s="576"/>
      <c r="O18" s="576"/>
      <c r="P18" s="576"/>
      <c r="Q18" s="576"/>
      <c r="R18" s="574"/>
      <c r="S18" s="537"/>
      <c r="T18" s="573"/>
      <c r="U18" s="573"/>
      <c r="V18" s="573"/>
      <c r="W18" s="573"/>
      <c r="X18" s="573"/>
      <c r="Y18" s="573"/>
      <c r="Z18" s="573"/>
      <c r="AA18" s="573"/>
      <c r="AB18" s="537"/>
      <c r="AC18" s="574"/>
      <c r="AD18" s="574"/>
      <c r="AE18" s="574"/>
      <c r="AF18" s="574"/>
      <c r="AG18" s="537"/>
      <c r="AH18" s="573"/>
      <c r="AI18" s="573"/>
      <c r="AJ18" s="573"/>
      <c r="AK18" s="573"/>
      <c r="AL18" s="573"/>
      <c r="AM18" s="573"/>
      <c r="AN18" s="573"/>
      <c r="AO18" s="573"/>
      <c r="AP18" s="537"/>
      <c r="AQ18" s="573"/>
      <c r="AR18" s="573"/>
      <c r="AS18" s="573"/>
      <c r="AT18" s="573"/>
      <c r="AU18" s="573"/>
      <c r="AV18" s="573"/>
      <c r="AW18" s="573"/>
      <c r="AX18" s="573"/>
      <c r="AY18" s="573"/>
      <c r="AZ18" s="573"/>
      <c r="BA18" s="573"/>
      <c r="BB18" s="573"/>
      <c r="BC18" s="573"/>
      <c r="BD18" s="573"/>
      <c r="BE18" s="573"/>
      <c r="BF18" s="573"/>
      <c r="BG18" s="573"/>
      <c r="BH18" s="573"/>
      <c r="BI18" s="573"/>
      <c r="BJ18" s="573"/>
      <c r="BK18" s="573"/>
      <c r="BL18" s="573"/>
      <c r="BM18" s="573"/>
      <c r="BN18" s="573"/>
      <c r="BO18" s="573"/>
      <c r="BP18" s="573"/>
      <c r="BQ18" s="573"/>
      <c r="BR18" s="573"/>
      <c r="BS18" s="573"/>
      <c r="BT18" s="573"/>
      <c r="BU18" s="573"/>
      <c r="BV18" s="573"/>
      <c r="BW18" s="573"/>
      <c r="BX18" s="573"/>
      <c r="BY18" s="573"/>
      <c r="BZ18" s="573"/>
      <c r="CA18" s="573"/>
      <c r="CB18" s="573"/>
      <c r="CC18" s="573"/>
      <c r="CD18" s="573"/>
      <c r="CE18" s="573"/>
      <c r="CF18" s="573"/>
      <c r="CG18" s="573"/>
      <c r="CH18" s="573"/>
      <c r="CI18" s="573"/>
      <c r="CJ18" s="573"/>
      <c r="CK18" s="573"/>
      <c r="CL18" s="573"/>
      <c r="CM18" s="537"/>
      <c r="CN18" s="573"/>
      <c r="CO18" s="573"/>
      <c r="CP18" s="573"/>
      <c r="CQ18" s="573"/>
      <c r="CR18" s="573"/>
      <c r="CS18" s="573"/>
      <c r="CT18" s="573"/>
      <c r="CU18" s="573"/>
      <c r="CV18" s="537"/>
      <c r="CW18" s="574"/>
      <c r="CX18" s="574"/>
      <c r="CY18" s="574"/>
      <c r="CZ18" s="574"/>
      <c r="DA18" s="574"/>
      <c r="DB18" s="574"/>
      <c r="DC18" s="574"/>
      <c r="DD18" s="574"/>
      <c r="DE18" s="537"/>
      <c r="DF18" s="573"/>
      <c r="DG18" s="573"/>
      <c r="DH18" s="573"/>
      <c r="DI18" s="573"/>
      <c r="DJ18" s="573"/>
      <c r="DK18" s="573"/>
      <c r="DL18" s="573"/>
      <c r="DM18" s="573"/>
      <c r="DO18" s="39"/>
    </row>
    <row r="19" spans="2:119" x14ac:dyDescent="0.3">
      <c r="B19" s="7"/>
      <c r="C19" s="7" t="s">
        <v>470</v>
      </c>
      <c r="D19" s="7" t="s">
        <v>247</v>
      </c>
      <c r="E19" s="7" t="s">
        <v>44</v>
      </c>
      <c r="F19" s="7" t="s">
        <v>54</v>
      </c>
      <c r="G19" s="7" t="s">
        <v>150</v>
      </c>
      <c r="H19" s="7" t="s">
        <v>160</v>
      </c>
      <c r="I19" s="7" t="s">
        <v>247</v>
      </c>
      <c r="J19" s="7"/>
      <c r="K19" s="7"/>
      <c r="L19" s="7"/>
      <c r="M19" s="576"/>
      <c r="N19" s="576"/>
      <c r="O19" s="576"/>
      <c r="P19" s="576"/>
      <c r="Q19" s="576"/>
      <c r="R19" s="574"/>
      <c r="S19" s="537"/>
      <c r="T19" s="573"/>
      <c r="U19" s="573"/>
      <c r="V19" s="573"/>
      <c r="W19" s="573"/>
      <c r="X19" s="573"/>
      <c r="Y19" s="573"/>
      <c r="Z19" s="573"/>
      <c r="AA19" s="573"/>
      <c r="AB19" s="537"/>
      <c r="AC19" s="574"/>
      <c r="AD19" s="574"/>
      <c r="AE19" s="574"/>
      <c r="AF19" s="574"/>
      <c r="AG19" s="537"/>
      <c r="AH19" s="573"/>
      <c r="AI19" s="573"/>
      <c r="AJ19" s="573"/>
      <c r="AK19" s="573"/>
      <c r="AL19" s="573"/>
      <c r="AM19" s="573"/>
      <c r="AN19" s="573"/>
      <c r="AO19" s="573"/>
      <c r="AP19" s="537"/>
      <c r="AQ19" s="573"/>
      <c r="AR19" s="573"/>
      <c r="AS19" s="573"/>
      <c r="AT19" s="573"/>
      <c r="AU19" s="573"/>
      <c r="AV19" s="573"/>
      <c r="AW19" s="573"/>
      <c r="AX19" s="573"/>
      <c r="AY19" s="573"/>
      <c r="AZ19" s="573"/>
      <c r="BA19" s="573"/>
      <c r="BB19" s="573"/>
      <c r="BC19" s="573"/>
      <c r="BD19" s="573"/>
      <c r="BE19" s="573"/>
      <c r="BF19" s="573"/>
      <c r="BG19" s="573"/>
      <c r="BH19" s="573"/>
      <c r="BI19" s="573"/>
      <c r="BJ19" s="573"/>
      <c r="BK19" s="573"/>
      <c r="BL19" s="573"/>
      <c r="BM19" s="573"/>
      <c r="BN19" s="573"/>
      <c r="BO19" s="573"/>
      <c r="BP19" s="573"/>
      <c r="BQ19" s="573"/>
      <c r="BR19" s="573"/>
      <c r="BS19" s="573"/>
      <c r="BT19" s="573"/>
      <c r="BU19" s="573"/>
      <c r="BV19" s="573"/>
      <c r="BW19" s="573"/>
      <c r="BX19" s="573"/>
      <c r="BY19" s="573"/>
      <c r="BZ19" s="573"/>
      <c r="CA19" s="573"/>
      <c r="CB19" s="573"/>
      <c r="CC19" s="573"/>
      <c r="CD19" s="573"/>
      <c r="CE19" s="573"/>
      <c r="CF19" s="573"/>
      <c r="CG19" s="573"/>
      <c r="CH19" s="573"/>
      <c r="CI19" s="573"/>
      <c r="CJ19" s="573"/>
      <c r="CK19" s="573"/>
      <c r="CL19" s="573"/>
      <c r="CM19" s="537"/>
      <c r="CN19" s="573"/>
      <c r="CO19" s="573"/>
      <c r="CP19" s="573"/>
      <c r="CQ19" s="573"/>
      <c r="CR19" s="573"/>
      <c r="CS19" s="573"/>
      <c r="CT19" s="573"/>
      <c r="CU19" s="573"/>
      <c r="CV19" s="537"/>
      <c r="CW19" s="574"/>
      <c r="CX19" s="574"/>
      <c r="CY19" s="574"/>
      <c r="CZ19" s="574"/>
      <c r="DA19" s="574"/>
      <c r="DB19" s="574"/>
      <c r="DC19" s="574"/>
      <c r="DD19" s="574"/>
      <c r="DE19" s="537"/>
      <c r="DF19" s="573"/>
      <c r="DG19" s="573"/>
      <c r="DH19" s="573"/>
      <c r="DI19" s="573"/>
      <c r="DJ19" s="573"/>
      <c r="DK19" s="573"/>
      <c r="DL19" s="573"/>
      <c r="DM19" s="573"/>
      <c r="DO19" s="39"/>
    </row>
    <row r="20" spans="2:119" x14ac:dyDescent="0.3">
      <c r="B20" s="7"/>
      <c r="C20" s="7" t="s">
        <v>257</v>
      </c>
      <c r="D20" s="7" t="s">
        <v>244</v>
      </c>
      <c r="E20" s="7" t="s">
        <v>44</v>
      </c>
      <c r="F20" s="7" t="s">
        <v>130</v>
      </c>
      <c r="G20" s="7" t="s">
        <v>150</v>
      </c>
      <c r="H20" s="7" t="s">
        <v>5</v>
      </c>
      <c r="I20" s="7" t="s">
        <v>244</v>
      </c>
      <c r="J20" s="7"/>
      <c r="K20" s="7"/>
      <c r="L20" s="7"/>
      <c r="M20" s="576"/>
      <c r="N20" s="576"/>
      <c r="O20" s="576"/>
      <c r="P20" s="576"/>
      <c r="Q20" s="576"/>
      <c r="R20" s="574"/>
      <c r="S20" s="537"/>
      <c r="T20" s="573"/>
      <c r="U20" s="573"/>
      <c r="V20" s="573"/>
      <c r="W20" s="573"/>
      <c r="X20" s="573"/>
      <c r="Y20" s="573"/>
      <c r="Z20" s="573"/>
      <c r="AA20" s="573"/>
      <c r="AB20" s="537"/>
      <c r="AC20" s="574"/>
      <c r="AD20" s="574"/>
      <c r="AE20" s="574"/>
      <c r="AF20" s="574"/>
      <c r="AG20" s="537"/>
      <c r="AH20" s="573"/>
      <c r="AI20" s="573"/>
      <c r="AJ20" s="573"/>
      <c r="AK20" s="573"/>
      <c r="AL20" s="573"/>
      <c r="AM20" s="573"/>
      <c r="AN20" s="573"/>
      <c r="AO20" s="573"/>
      <c r="AP20" s="537"/>
      <c r="AQ20" s="573"/>
      <c r="AR20" s="573"/>
      <c r="AS20" s="573"/>
      <c r="AT20" s="573"/>
      <c r="AU20" s="573"/>
      <c r="AV20" s="573"/>
      <c r="AW20" s="573"/>
      <c r="AX20" s="573"/>
      <c r="AY20" s="573"/>
      <c r="AZ20" s="573"/>
      <c r="BA20" s="573"/>
      <c r="BB20" s="573"/>
      <c r="BC20" s="573"/>
      <c r="BD20" s="573"/>
      <c r="BE20" s="573"/>
      <c r="BF20" s="573"/>
      <c r="BG20" s="573"/>
      <c r="BH20" s="573"/>
      <c r="BI20" s="573"/>
      <c r="BJ20" s="573"/>
      <c r="BK20" s="573"/>
      <c r="BL20" s="573"/>
      <c r="BM20" s="573"/>
      <c r="BN20" s="573"/>
      <c r="BO20" s="573"/>
      <c r="BP20" s="573"/>
      <c r="BQ20" s="573"/>
      <c r="BR20" s="573"/>
      <c r="BS20" s="573"/>
      <c r="BT20" s="573"/>
      <c r="BU20" s="573"/>
      <c r="BV20" s="573"/>
      <c r="BW20" s="573"/>
      <c r="BX20" s="573"/>
      <c r="BY20" s="573"/>
      <c r="BZ20" s="573"/>
      <c r="CA20" s="573"/>
      <c r="CB20" s="573"/>
      <c r="CC20" s="573"/>
      <c r="CD20" s="573"/>
      <c r="CE20" s="573"/>
      <c r="CF20" s="573"/>
      <c r="CG20" s="573"/>
      <c r="CH20" s="573"/>
      <c r="CI20" s="573"/>
      <c r="CJ20" s="573"/>
      <c r="CK20" s="573"/>
      <c r="CL20" s="573"/>
      <c r="CM20" s="537"/>
      <c r="CN20" s="573"/>
      <c r="CO20" s="573"/>
      <c r="CP20" s="573"/>
      <c r="CQ20" s="573"/>
      <c r="CR20" s="573"/>
      <c r="CS20" s="573"/>
      <c r="CT20" s="573"/>
      <c r="CU20" s="573"/>
      <c r="CV20" s="537"/>
      <c r="CW20" s="574"/>
      <c r="CX20" s="574"/>
      <c r="CY20" s="574"/>
      <c r="CZ20" s="574"/>
      <c r="DA20" s="574"/>
      <c r="DB20" s="574"/>
      <c r="DC20" s="574"/>
      <c r="DD20" s="574"/>
      <c r="DE20" s="537"/>
      <c r="DF20" s="573"/>
      <c r="DG20" s="573"/>
      <c r="DH20" s="573"/>
      <c r="DI20" s="573"/>
      <c r="DJ20" s="573"/>
      <c r="DK20" s="573"/>
      <c r="DL20" s="573"/>
      <c r="DM20" s="573"/>
      <c r="DO20" s="39"/>
    </row>
    <row r="21" spans="2:119" x14ac:dyDescent="0.3">
      <c r="B21" s="7"/>
      <c r="C21" s="7" t="s">
        <v>85</v>
      </c>
      <c r="D21" s="7" t="s">
        <v>245</v>
      </c>
      <c r="E21" s="7" t="s">
        <v>44</v>
      </c>
      <c r="F21" s="7" t="s">
        <v>130</v>
      </c>
      <c r="G21" s="7" t="s">
        <v>150</v>
      </c>
      <c r="H21" s="7" t="s">
        <v>5</v>
      </c>
      <c r="I21" s="7" t="s">
        <v>245</v>
      </c>
      <c r="J21" s="7"/>
      <c r="K21" s="7"/>
      <c r="L21" s="7"/>
      <c r="M21" s="576"/>
      <c r="N21" s="576"/>
      <c r="O21" s="576"/>
      <c r="P21" s="576"/>
      <c r="Q21" s="576"/>
      <c r="R21" s="574"/>
      <c r="S21" s="537"/>
      <c r="T21" s="573"/>
      <c r="U21" s="573"/>
      <c r="V21" s="573"/>
      <c r="W21" s="573"/>
      <c r="X21" s="573"/>
      <c r="Y21" s="573"/>
      <c r="Z21" s="573"/>
      <c r="AA21" s="573"/>
      <c r="AB21" s="537"/>
      <c r="AC21" s="574"/>
      <c r="AD21" s="574"/>
      <c r="AE21" s="574"/>
      <c r="AF21" s="574"/>
      <c r="AG21" s="537"/>
      <c r="AH21" s="573"/>
      <c r="AI21" s="573"/>
      <c r="AJ21" s="573"/>
      <c r="AK21" s="573"/>
      <c r="AL21" s="573"/>
      <c r="AM21" s="573"/>
      <c r="AN21" s="573"/>
      <c r="AO21" s="573"/>
      <c r="AP21" s="537"/>
      <c r="AQ21" s="573"/>
      <c r="AR21" s="573"/>
      <c r="AS21" s="573"/>
      <c r="AT21" s="573"/>
      <c r="AU21" s="573"/>
      <c r="AV21" s="573"/>
      <c r="AW21" s="573"/>
      <c r="AX21" s="573"/>
      <c r="AY21" s="573"/>
      <c r="AZ21" s="573"/>
      <c r="BA21" s="573"/>
      <c r="BB21" s="573"/>
      <c r="BC21" s="573"/>
      <c r="BD21" s="573"/>
      <c r="BE21" s="573"/>
      <c r="BF21" s="573"/>
      <c r="BG21" s="573"/>
      <c r="BH21" s="573"/>
      <c r="BI21" s="573"/>
      <c r="BJ21" s="573"/>
      <c r="BK21" s="573"/>
      <c r="BL21" s="573"/>
      <c r="BM21" s="573"/>
      <c r="BN21" s="573"/>
      <c r="BO21" s="573"/>
      <c r="BP21" s="573"/>
      <c r="BQ21" s="573"/>
      <c r="BR21" s="573"/>
      <c r="BS21" s="573"/>
      <c r="BT21" s="573"/>
      <c r="BU21" s="573"/>
      <c r="BV21" s="573"/>
      <c r="BW21" s="573"/>
      <c r="BX21" s="573"/>
      <c r="BY21" s="573"/>
      <c r="BZ21" s="573"/>
      <c r="CA21" s="573"/>
      <c r="CB21" s="573"/>
      <c r="CC21" s="573"/>
      <c r="CD21" s="573"/>
      <c r="CE21" s="573"/>
      <c r="CF21" s="573"/>
      <c r="CG21" s="573"/>
      <c r="CH21" s="573"/>
      <c r="CI21" s="573"/>
      <c r="CJ21" s="573"/>
      <c r="CK21" s="573"/>
      <c r="CL21" s="573"/>
      <c r="CM21" s="537"/>
      <c r="CN21" s="573"/>
      <c r="CO21" s="573"/>
      <c r="CP21" s="573"/>
      <c r="CQ21" s="573"/>
      <c r="CR21" s="573"/>
      <c r="CS21" s="573"/>
      <c r="CT21" s="573"/>
      <c r="CU21" s="573"/>
      <c r="CV21" s="537"/>
      <c r="CW21" s="574"/>
      <c r="CX21" s="574"/>
      <c r="CY21" s="574"/>
      <c r="CZ21" s="574"/>
      <c r="DA21" s="574"/>
      <c r="DB21" s="574"/>
      <c r="DC21" s="574"/>
      <c r="DD21" s="574"/>
      <c r="DE21" s="537"/>
      <c r="DF21" s="573"/>
      <c r="DG21" s="573"/>
      <c r="DH21" s="573"/>
      <c r="DI21" s="573"/>
      <c r="DJ21" s="573"/>
      <c r="DK21" s="573"/>
      <c r="DL21" s="573"/>
      <c r="DM21" s="573"/>
      <c r="DO21" s="39"/>
    </row>
    <row r="22" spans="2:119" x14ac:dyDescent="0.3">
      <c r="B22" s="7"/>
      <c r="C22" s="7" t="s">
        <v>466</v>
      </c>
      <c r="D22" s="7" t="s">
        <v>245</v>
      </c>
      <c r="E22" s="7" t="s">
        <v>44</v>
      </c>
      <c r="F22" s="7" t="s">
        <v>130</v>
      </c>
      <c r="G22" s="7" t="s">
        <v>150</v>
      </c>
      <c r="H22" s="7" t="s">
        <v>5</v>
      </c>
      <c r="I22" s="7" t="s">
        <v>245</v>
      </c>
      <c r="J22" s="7"/>
      <c r="K22" s="7"/>
      <c r="L22" s="7"/>
      <c r="M22" s="576"/>
      <c r="N22" s="576"/>
      <c r="O22" s="576"/>
      <c r="P22" s="576"/>
      <c r="Q22" s="576"/>
      <c r="R22" s="574"/>
      <c r="S22" s="537"/>
      <c r="T22" s="573"/>
      <c r="U22" s="573"/>
      <c r="V22" s="573"/>
      <c r="W22" s="573"/>
      <c r="X22" s="573"/>
      <c r="Y22" s="573"/>
      <c r="Z22" s="573"/>
      <c r="AA22" s="573"/>
      <c r="AB22" s="537"/>
      <c r="AC22" s="574"/>
      <c r="AD22" s="574"/>
      <c r="AE22" s="574"/>
      <c r="AF22" s="574"/>
      <c r="AG22" s="537"/>
      <c r="AH22" s="573"/>
      <c r="AI22" s="573"/>
      <c r="AJ22" s="573"/>
      <c r="AK22" s="573"/>
      <c r="AL22" s="573"/>
      <c r="AM22" s="573"/>
      <c r="AN22" s="573"/>
      <c r="AO22" s="573"/>
      <c r="AP22" s="537"/>
      <c r="AQ22" s="576"/>
      <c r="AR22" s="576"/>
      <c r="AS22" s="576"/>
      <c r="AT22" s="576"/>
      <c r="AU22" s="576"/>
      <c r="AV22" s="573"/>
      <c r="AW22" s="573"/>
      <c r="AX22" s="573"/>
      <c r="AY22" s="573"/>
      <c r="AZ22" s="573"/>
      <c r="BA22" s="573"/>
      <c r="BB22" s="573"/>
      <c r="BC22" s="573"/>
      <c r="BD22" s="573"/>
      <c r="BE22" s="573"/>
      <c r="BF22" s="573"/>
      <c r="BG22" s="573"/>
      <c r="BH22" s="573"/>
      <c r="BI22" s="573"/>
      <c r="BJ22" s="573"/>
      <c r="BK22" s="573"/>
      <c r="BL22" s="573"/>
      <c r="BM22" s="573"/>
      <c r="BN22" s="573"/>
      <c r="BO22" s="573"/>
      <c r="BP22" s="573"/>
      <c r="BQ22" s="573"/>
      <c r="BR22" s="573"/>
      <c r="BS22" s="573"/>
      <c r="BT22" s="573"/>
      <c r="BU22" s="573"/>
      <c r="BV22" s="573"/>
      <c r="BW22" s="573"/>
      <c r="BX22" s="573"/>
      <c r="BY22" s="573"/>
      <c r="BZ22" s="573"/>
      <c r="CA22" s="573"/>
      <c r="CB22" s="573"/>
      <c r="CC22" s="573"/>
      <c r="CD22" s="573"/>
      <c r="CE22" s="573"/>
      <c r="CF22" s="573"/>
      <c r="CG22" s="573"/>
      <c r="CH22" s="573"/>
      <c r="CI22" s="573"/>
      <c r="CJ22" s="573"/>
      <c r="CK22" s="573"/>
      <c r="CL22" s="573"/>
      <c r="CM22" s="537"/>
      <c r="CN22" s="573"/>
      <c r="CO22" s="573"/>
      <c r="CP22" s="573"/>
      <c r="CQ22" s="573"/>
      <c r="CR22" s="573"/>
      <c r="CS22" s="573"/>
      <c r="CT22" s="573"/>
      <c r="CU22" s="573"/>
      <c r="CV22" s="537"/>
      <c r="CW22" s="574"/>
      <c r="CX22" s="574"/>
      <c r="CY22" s="574"/>
      <c r="CZ22" s="574"/>
      <c r="DA22" s="574"/>
      <c r="DB22" s="574"/>
      <c r="DC22" s="574"/>
      <c r="DD22" s="574"/>
      <c r="DE22" s="537"/>
      <c r="DF22" s="573"/>
      <c r="DG22" s="573"/>
      <c r="DH22" s="573"/>
      <c r="DI22" s="573"/>
      <c r="DJ22" s="573"/>
      <c r="DK22" s="573"/>
      <c r="DL22" s="573"/>
      <c r="DM22" s="573"/>
      <c r="DO22" s="39"/>
    </row>
    <row r="23" spans="2:119" x14ac:dyDescent="0.3">
      <c r="B23" s="7"/>
      <c r="C23" s="7" t="s">
        <v>447</v>
      </c>
      <c r="D23" s="7" t="s">
        <v>203</v>
      </c>
      <c r="E23" s="7" t="s">
        <v>44</v>
      </c>
      <c r="F23" s="7" t="s">
        <v>52</v>
      </c>
      <c r="G23" s="7" t="s">
        <v>150</v>
      </c>
      <c r="H23" s="7" t="s">
        <v>5</v>
      </c>
      <c r="I23" s="7" t="s">
        <v>203</v>
      </c>
      <c r="J23" s="7"/>
      <c r="K23" s="7"/>
      <c r="L23" s="7"/>
      <c r="M23" s="576"/>
      <c r="N23" s="576"/>
      <c r="O23" s="576"/>
      <c r="P23" s="576"/>
      <c r="Q23" s="576"/>
      <c r="R23" s="574"/>
      <c r="S23" s="537"/>
      <c r="T23" s="573"/>
      <c r="U23" s="573"/>
      <c r="V23" s="573"/>
      <c r="W23" s="573"/>
      <c r="X23" s="573"/>
      <c r="Y23" s="573"/>
      <c r="Z23" s="573"/>
      <c r="AA23" s="573"/>
      <c r="AB23" s="537"/>
      <c r="AC23" s="574"/>
      <c r="AD23" s="574"/>
      <c r="AE23" s="574"/>
      <c r="AF23" s="574"/>
      <c r="AG23" s="537"/>
      <c r="AH23" s="573"/>
      <c r="AI23" s="573"/>
      <c r="AJ23" s="573"/>
      <c r="AK23" s="573"/>
      <c r="AL23" s="573"/>
      <c r="AM23" s="573"/>
      <c r="AN23" s="573"/>
      <c r="AO23" s="573"/>
      <c r="AP23" s="537"/>
      <c r="AQ23" s="576"/>
      <c r="AR23" s="576"/>
      <c r="AS23" s="576"/>
      <c r="AT23" s="576"/>
      <c r="AU23" s="576"/>
      <c r="AV23" s="573"/>
      <c r="AW23" s="573"/>
      <c r="AX23" s="573"/>
      <c r="AY23" s="573"/>
      <c r="AZ23" s="573"/>
      <c r="BA23" s="573"/>
      <c r="BB23" s="573"/>
      <c r="BC23" s="573"/>
      <c r="BD23" s="573"/>
      <c r="BE23" s="573"/>
      <c r="BF23" s="573"/>
      <c r="BG23" s="573"/>
      <c r="BH23" s="573"/>
      <c r="BI23" s="573"/>
      <c r="BJ23" s="573"/>
      <c r="BK23" s="573"/>
      <c r="BL23" s="573"/>
      <c r="BM23" s="573"/>
      <c r="BN23" s="573"/>
      <c r="BO23" s="573"/>
      <c r="BP23" s="573"/>
      <c r="BQ23" s="573"/>
      <c r="BR23" s="573"/>
      <c r="BS23" s="573"/>
      <c r="BT23" s="573"/>
      <c r="BU23" s="573"/>
      <c r="BV23" s="573"/>
      <c r="BW23" s="573"/>
      <c r="BX23" s="573"/>
      <c r="BY23" s="573"/>
      <c r="BZ23" s="573"/>
      <c r="CA23" s="573"/>
      <c r="CB23" s="573"/>
      <c r="CC23" s="573"/>
      <c r="CD23" s="573"/>
      <c r="CE23" s="573"/>
      <c r="CF23" s="573"/>
      <c r="CG23" s="573"/>
      <c r="CH23" s="573"/>
      <c r="CI23" s="573"/>
      <c r="CJ23" s="573"/>
      <c r="CK23" s="573"/>
      <c r="CL23" s="573"/>
      <c r="CM23" s="537"/>
      <c r="CN23" s="573"/>
      <c r="CO23" s="573"/>
      <c r="CP23" s="573"/>
      <c r="CQ23" s="573"/>
      <c r="CR23" s="573"/>
      <c r="CS23" s="573"/>
      <c r="CT23" s="573"/>
      <c r="CU23" s="573"/>
      <c r="CV23" s="537"/>
      <c r="CW23" s="574"/>
      <c r="CX23" s="574"/>
      <c r="CY23" s="574"/>
      <c r="CZ23" s="574"/>
      <c r="DA23" s="574"/>
      <c r="DB23" s="574"/>
      <c r="DC23" s="574"/>
      <c r="DD23" s="574"/>
      <c r="DE23" s="537"/>
      <c r="DF23" s="573"/>
      <c r="DG23" s="573"/>
      <c r="DH23" s="573"/>
      <c r="DI23" s="573"/>
      <c r="DJ23" s="573"/>
      <c r="DK23" s="573"/>
      <c r="DL23" s="573"/>
      <c r="DM23" s="573"/>
      <c r="DO23" s="39"/>
    </row>
    <row r="24" spans="2:119" x14ac:dyDescent="0.3">
      <c r="B24" s="7"/>
      <c r="C24" s="7" t="s">
        <v>448</v>
      </c>
      <c r="D24" s="7" t="s">
        <v>203</v>
      </c>
      <c r="E24" s="7" t="s">
        <v>44</v>
      </c>
      <c r="F24" s="7" t="s">
        <v>52</v>
      </c>
      <c r="G24" s="7" t="s">
        <v>150</v>
      </c>
      <c r="H24" s="7" t="s">
        <v>5</v>
      </c>
      <c r="I24" s="7" t="s">
        <v>203</v>
      </c>
      <c r="J24" s="7"/>
      <c r="K24" s="7"/>
      <c r="L24" s="7"/>
      <c r="M24" s="576"/>
      <c r="N24" s="576"/>
      <c r="O24" s="576"/>
      <c r="P24" s="576"/>
      <c r="Q24" s="576"/>
      <c r="R24" s="574"/>
      <c r="S24" s="537"/>
      <c r="T24" s="573"/>
      <c r="U24" s="573"/>
      <c r="V24" s="573"/>
      <c r="W24" s="573"/>
      <c r="X24" s="573"/>
      <c r="Y24" s="573"/>
      <c r="Z24" s="573"/>
      <c r="AA24" s="573"/>
      <c r="AB24" s="537"/>
      <c r="AC24" s="574"/>
      <c r="AD24" s="574"/>
      <c r="AE24" s="574"/>
      <c r="AF24" s="574"/>
      <c r="AG24" s="537"/>
      <c r="AH24" s="573"/>
      <c r="AI24" s="573"/>
      <c r="AJ24" s="573"/>
      <c r="AK24" s="573"/>
      <c r="AL24" s="573"/>
      <c r="AM24" s="573"/>
      <c r="AN24" s="573"/>
      <c r="AO24" s="573"/>
      <c r="AP24" s="537"/>
      <c r="AQ24" s="576"/>
      <c r="AR24" s="576"/>
      <c r="AS24" s="576"/>
      <c r="AT24" s="576"/>
      <c r="AU24" s="576"/>
      <c r="AV24" s="573"/>
      <c r="AW24" s="573"/>
      <c r="AX24" s="573"/>
      <c r="AY24" s="573"/>
      <c r="AZ24" s="573"/>
      <c r="BA24" s="573"/>
      <c r="BB24" s="573"/>
      <c r="BC24" s="573"/>
      <c r="BD24" s="573"/>
      <c r="BE24" s="573"/>
      <c r="BF24" s="573"/>
      <c r="BG24" s="573"/>
      <c r="BH24" s="573"/>
      <c r="BI24" s="573"/>
      <c r="BJ24" s="573"/>
      <c r="BK24" s="573"/>
      <c r="BL24" s="573"/>
      <c r="BM24" s="573"/>
      <c r="BN24" s="573"/>
      <c r="BO24" s="573"/>
      <c r="BP24" s="573"/>
      <c r="BQ24" s="573"/>
      <c r="BR24" s="573"/>
      <c r="BS24" s="573"/>
      <c r="BT24" s="573"/>
      <c r="BU24" s="573"/>
      <c r="BV24" s="573"/>
      <c r="BW24" s="573"/>
      <c r="BX24" s="573"/>
      <c r="BY24" s="573"/>
      <c r="BZ24" s="573"/>
      <c r="CA24" s="573"/>
      <c r="CB24" s="573"/>
      <c r="CC24" s="573"/>
      <c r="CD24" s="573"/>
      <c r="CE24" s="573"/>
      <c r="CF24" s="573"/>
      <c r="CG24" s="573"/>
      <c r="CH24" s="573"/>
      <c r="CI24" s="573"/>
      <c r="CJ24" s="573"/>
      <c r="CK24" s="573"/>
      <c r="CL24" s="573"/>
      <c r="CM24" s="537"/>
      <c r="CN24" s="573"/>
      <c r="CO24" s="573"/>
      <c r="CP24" s="573"/>
      <c r="CQ24" s="573"/>
      <c r="CR24" s="573"/>
      <c r="CS24" s="573"/>
      <c r="CT24" s="573"/>
      <c r="CU24" s="573"/>
      <c r="CV24" s="537"/>
      <c r="CW24" s="574"/>
      <c r="CX24" s="574"/>
      <c r="CY24" s="574"/>
      <c r="CZ24" s="574"/>
      <c r="DA24" s="574"/>
      <c r="DB24" s="574"/>
      <c r="DC24" s="574"/>
      <c r="DD24" s="574"/>
      <c r="DE24" s="537"/>
      <c r="DF24" s="573"/>
      <c r="DG24" s="573"/>
      <c r="DH24" s="573"/>
      <c r="DI24" s="573"/>
      <c r="DJ24" s="573"/>
      <c r="DK24" s="573"/>
      <c r="DL24" s="573"/>
      <c r="DM24" s="573"/>
      <c r="DO24" s="39"/>
    </row>
    <row r="25" spans="2:119" x14ac:dyDescent="0.3">
      <c r="B25" s="7"/>
      <c r="C25" s="7" t="s">
        <v>87</v>
      </c>
      <c r="D25" s="7" t="s">
        <v>202</v>
      </c>
      <c r="E25" s="7" t="s">
        <v>44</v>
      </c>
      <c r="F25" s="7" t="s">
        <v>52</v>
      </c>
      <c r="G25" s="7" t="s">
        <v>150</v>
      </c>
      <c r="H25" s="7" t="s">
        <v>5</v>
      </c>
      <c r="I25" s="7" t="s">
        <v>202</v>
      </c>
      <c r="J25" s="7"/>
      <c r="K25" s="7"/>
      <c r="L25" s="7"/>
      <c r="M25" s="576"/>
      <c r="N25" s="576"/>
      <c r="O25" s="576"/>
      <c r="P25" s="576"/>
      <c r="Q25" s="576"/>
      <c r="R25" s="574"/>
      <c r="S25" s="537"/>
      <c r="T25" s="573"/>
      <c r="U25" s="573"/>
      <c r="V25" s="573"/>
      <c r="W25" s="573"/>
      <c r="X25" s="573"/>
      <c r="Y25" s="573"/>
      <c r="Z25" s="573"/>
      <c r="AA25" s="573"/>
      <c r="AB25" s="537"/>
      <c r="AC25" s="574"/>
      <c r="AD25" s="574"/>
      <c r="AE25" s="574"/>
      <c r="AF25" s="574"/>
      <c r="AG25" s="537"/>
      <c r="AH25" s="573"/>
      <c r="AI25" s="573"/>
      <c r="AJ25" s="573"/>
      <c r="AK25" s="573"/>
      <c r="AL25" s="573"/>
      <c r="AM25" s="573"/>
      <c r="AN25" s="573"/>
      <c r="AO25" s="573"/>
      <c r="AP25" s="537"/>
      <c r="AQ25" s="576"/>
      <c r="AR25" s="576"/>
      <c r="AS25" s="576"/>
      <c r="AT25" s="576"/>
      <c r="AU25" s="576"/>
      <c r="AV25" s="573"/>
      <c r="AW25" s="573"/>
      <c r="AX25" s="573"/>
      <c r="AY25" s="573"/>
      <c r="AZ25" s="573"/>
      <c r="BA25" s="573"/>
      <c r="BB25" s="573"/>
      <c r="BC25" s="573"/>
      <c r="BD25" s="573"/>
      <c r="BE25" s="573"/>
      <c r="BF25" s="573"/>
      <c r="BG25" s="573"/>
      <c r="BH25" s="573"/>
      <c r="BI25" s="573"/>
      <c r="BJ25" s="573"/>
      <c r="BK25" s="573"/>
      <c r="BL25" s="573"/>
      <c r="BM25" s="573"/>
      <c r="BN25" s="573"/>
      <c r="BO25" s="573"/>
      <c r="BP25" s="573"/>
      <c r="BQ25" s="573"/>
      <c r="BR25" s="573"/>
      <c r="BS25" s="573"/>
      <c r="BT25" s="573"/>
      <c r="BU25" s="573"/>
      <c r="BV25" s="573"/>
      <c r="BW25" s="573"/>
      <c r="BX25" s="573"/>
      <c r="BY25" s="573"/>
      <c r="BZ25" s="573"/>
      <c r="CA25" s="573"/>
      <c r="CB25" s="573"/>
      <c r="CC25" s="573"/>
      <c r="CD25" s="573"/>
      <c r="CE25" s="573"/>
      <c r="CF25" s="573"/>
      <c r="CG25" s="573"/>
      <c r="CH25" s="573"/>
      <c r="CI25" s="573"/>
      <c r="CJ25" s="573"/>
      <c r="CK25" s="573"/>
      <c r="CL25" s="573"/>
      <c r="CM25" s="537"/>
      <c r="CN25" s="573"/>
      <c r="CO25" s="573"/>
      <c r="CP25" s="573"/>
      <c r="CQ25" s="573"/>
      <c r="CR25" s="573"/>
      <c r="CS25" s="573"/>
      <c r="CT25" s="573"/>
      <c r="CU25" s="573"/>
      <c r="CV25" s="537"/>
      <c r="CW25" s="574"/>
      <c r="CX25" s="574"/>
      <c r="CY25" s="574"/>
      <c r="CZ25" s="574"/>
      <c r="DA25" s="574"/>
      <c r="DB25" s="574"/>
      <c r="DC25" s="574"/>
      <c r="DD25" s="574"/>
      <c r="DE25" s="537"/>
      <c r="DF25" s="573"/>
      <c r="DG25" s="573"/>
      <c r="DH25" s="573"/>
      <c r="DI25" s="573"/>
      <c r="DJ25" s="573"/>
      <c r="DK25" s="573"/>
      <c r="DL25" s="573"/>
      <c r="DM25" s="573"/>
      <c r="DO25" s="39"/>
    </row>
    <row r="26" spans="2:119" x14ac:dyDescent="0.3">
      <c r="B26" s="7"/>
      <c r="C26" s="7"/>
      <c r="D26" s="7"/>
      <c r="E26" s="7"/>
      <c r="F26" s="7"/>
      <c r="G26" s="7"/>
      <c r="H26" s="7"/>
      <c r="I26" s="7"/>
      <c r="J26" s="7"/>
      <c r="K26" s="7"/>
      <c r="L26" s="7"/>
      <c r="M26" s="7"/>
      <c r="N26" s="7"/>
      <c r="O26" s="7"/>
      <c r="P26" s="7"/>
      <c r="Q26" s="7"/>
      <c r="R26" s="46"/>
      <c r="T26" s="47">
        <f t="shared" ref="T26:T38" si="8">J26*$R26</f>
        <v>0</v>
      </c>
      <c r="U26" s="47">
        <f t="shared" ref="U26:U38" si="9">K26*$R26</f>
        <v>0</v>
      </c>
      <c r="V26" s="47">
        <f t="shared" ref="V26:V38" si="10">L26*$R26</f>
        <v>0</v>
      </c>
      <c r="W26" s="47">
        <f t="shared" ref="W26:W38" si="11">M26*$R26</f>
        <v>0</v>
      </c>
      <c r="X26" s="47">
        <f t="shared" ref="X26:X38" si="12">N26*$R26</f>
        <v>0</v>
      </c>
      <c r="Y26" s="47">
        <f t="shared" ref="Y26:Y38" si="13">O26*$R26</f>
        <v>0</v>
      </c>
      <c r="Z26" s="47">
        <f t="shared" ref="Z26:Z38" si="14">P26*$R26</f>
        <v>0</v>
      </c>
      <c r="AA26" s="47">
        <f t="shared" ref="AA26:AA38" si="15">Q26*$R26</f>
        <v>0</v>
      </c>
      <c r="AC26" s="83">
        <f t="shared" ref="AC26:AF38" si="16">IF($R26="",0,INDEX(Direct_Cost_Splits_Network,MATCH($H26,RIN_Asset_Cat_Network,0),MATCH(AC$4,Direct_Cost_Type,0))*$R26)</f>
        <v>0</v>
      </c>
      <c r="AD26" s="83">
        <f t="shared" si="16"/>
        <v>0</v>
      </c>
      <c r="AE26" s="83">
        <f t="shared" si="16"/>
        <v>0</v>
      </c>
      <c r="AF26" s="83">
        <f t="shared" si="16"/>
        <v>0</v>
      </c>
      <c r="AH26" s="47">
        <f>IF($R26="",0,J26*$AC26*HLOOKUP(AH$6,Escalators!$I$25:$U$30,3,FALSE))</f>
        <v>0</v>
      </c>
      <c r="AI26" s="47">
        <f>IF($R26="",0,K26*$AC26*HLOOKUP(AI$6,Escalators!$I$25:$U$30,3,FALSE))</f>
        <v>0</v>
      </c>
      <c r="AJ26" s="47">
        <f>IF($R26="",0,L26*$AC26*HLOOKUP(AJ$6,Escalators!$I$25:$U$30,3,FALSE))</f>
        <v>0</v>
      </c>
      <c r="AK26" s="47">
        <f>IF($R26="",0,M26*$AC26*HLOOKUP(AK$6,Escalators!$I$25:$U$30,3,FALSE))</f>
        <v>0</v>
      </c>
      <c r="AL26" s="47">
        <f>IF($R26="",0,N26*$AC26*HLOOKUP(AL$6,Escalators!$I$25:$U$30,3,FALSE))</f>
        <v>0</v>
      </c>
      <c r="AM26" s="47">
        <f>IF($R26="",0,O26*$AC26*HLOOKUP(AM$6,Escalators!$I$25:$U$30,3,FALSE))</f>
        <v>0</v>
      </c>
      <c r="AN26" s="47">
        <f>IF($R26="",0,P26*$AC26*HLOOKUP(AN$6,Escalators!$I$25:$U$30,3,FALSE))</f>
        <v>0</v>
      </c>
      <c r="AO26" s="47">
        <f>IF($R26="",0,Q26*$AC26*HLOOKUP(AO$6,Escalators!$I$25:$U$30,3,FALSE))</f>
        <v>0</v>
      </c>
      <c r="AQ26" s="6">
        <f>IF($R26="",0,$J26*$AD26*INDEX(Act_Type_Repex_Splits,MATCH($I26,Act_Type_Repex,0),MATCH(AQ$5,Mat_Type,0))*INDEX(Escalators!$I$44:$U$49,MATCH(AQ$5,Escalators!$C$44:$C$49,0),MATCH(AQ$6,Escalators!$I$43:$U$43,0)))</f>
        <v>0</v>
      </c>
      <c r="AR26" s="6">
        <f>IF($R26="",0,$J26*$AD26*INDEX(Act_Type_Repex_Splits,MATCH($I26,Act_Type_Repex,0),MATCH(AR$5,Mat_Type,0))*INDEX(Escalators!$I$44:$U$49,MATCH(AR$5,Escalators!$C$44:$C$49,0),MATCH(AR$6,Escalators!$I$43:$U$43,0)))</f>
        <v>0</v>
      </c>
      <c r="AS26" s="6">
        <f>IF($R26="",0,$J26*$AD26*INDEX(Act_Type_Repex_Splits,MATCH($I26,Act_Type_Repex,0),MATCH(AS$5,Mat_Type,0))*INDEX(Escalators!$I$44:$U$49,MATCH(AS$5,Escalators!$C$44:$C$49,0),MATCH(AS$6,Escalators!$I$43:$U$43,0)))</f>
        <v>0</v>
      </c>
      <c r="AT26" s="6">
        <f>IF($R26="",0,$J26*$AD26*INDEX(Act_Type_Repex_Splits,MATCH($I26,Act_Type_Repex,0),MATCH(AT$5,Mat_Type,0))*INDEX(Escalators!$I$44:$U$49,MATCH(AT$5,Escalators!$C$44:$C$49,0),MATCH(AT$6,Escalators!$I$43:$U$43,0)))</f>
        <v>0</v>
      </c>
      <c r="AU26" s="6">
        <f>IF($R26="",0,$J26*$AD26*INDEX(Act_Type_Repex_Splits,MATCH($I26,Act_Type_Repex,0),MATCH(AU$5,Mat_Type,0))*INDEX(Escalators!$I$44:$U$49,MATCH(AU$5,Escalators!$C$44:$C$49,0),MATCH(AU$6,Escalators!$I$43:$U$43,0)))</f>
        <v>0</v>
      </c>
      <c r="AV26" s="47">
        <f t="shared" ref="AV26:AV38" si="17">SUM(AQ26:AU26)</f>
        <v>0</v>
      </c>
      <c r="AW26" s="47">
        <f>IF($R26="",0,$K26*$AD26*INDEX(Act_Type_Repex_Splits,MATCH($I26,Act_Type_Repex,0),MATCH(AW$5,Mat_Type,0))*INDEX(Escalators!$I$44:$U$49,MATCH(AW$5,Escalators!$C$44:$C$49,0),MATCH(AW$6,Escalators!$I$43:$U$43,0)))</f>
        <v>0</v>
      </c>
      <c r="AX26" s="47">
        <f>IF($R26="",0,$K26*$AD26*INDEX(Act_Type_Repex_Splits,MATCH($I26,Act_Type_Repex,0),MATCH(AX$5,Mat_Type,0))*INDEX(Escalators!$I$44:$U$49,MATCH(AX$5,Escalators!$C$44:$C$49,0),MATCH(AX$6,Escalators!$I$43:$U$43,0)))</f>
        <v>0</v>
      </c>
      <c r="AY26" s="47">
        <f>IF($R26="",0,$K26*$AD26*INDEX(Act_Type_Repex_Splits,MATCH($I26,Act_Type_Repex,0),MATCH(AY$5,Mat_Type,0))*INDEX(Escalators!$I$44:$U$49,MATCH(AY$5,Escalators!$C$44:$C$49,0),MATCH(AY$6,Escalators!$I$43:$U$43,0)))</f>
        <v>0</v>
      </c>
      <c r="AZ26" s="47">
        <f>IF($R26="",0,$K26*$AD26*INDEX(Act_Type_Repex_Splits,MATCH($I26,Act_Type_Repex,0),MATCH(AZ$5,Mat_Type,0))*INDEX(Escalators!$I$44:$U$49,MATCH(AZ$5,Escalators!$C$44:$C$49,0),MATCH(AZ$6,Escalators!$I$43:$U$43,0)))</f>
        <v>0</v>
      </c>
      <c r="BA26" s="47">
        <f>IF($R26="",0,$K26*$AD26*INDEX(Act_Type_Repex_Splits,MATCH($I26,Act_Type_Repex,0),MATCH(BA$5,Mat_Type,0))*INDEX(Escalators!$I$44:$U$49,MATCH(BA$5,Escalators!$C$44:$C$49,0),MATCH(BA$6,Escalators!$I$43:$U$43,0)))</f>
        <v>0</v>
      </c>
      <c r="BB26" s="47">
        <f t="shared" ref="BB26:BB38" si="18">SUM(AW26:BA26)</f>
        <v>0</v>
      </c>
      <c r="BC26" s="47">
        <f>IF($R26="",0,$L26*$AD26*INDEX(Act_Type_Repex_Splits,MATCH($I26,Act_Type_Repex,0),MATCH(BC$5,Mat_Type,0))*INDEX(Escalators!$I$44:$U$49,MATCH(BC$5,Escalators!$C$44:$C$49,0),MATCH(BC$6,Escalators!$I$43:$U$43,0)))</f>
        <v>0</v>
      </c>
      <c r="BD26" s="47">
        <f>IF($R26="",0,$L26*$AD26*INDEX(Act_Type_Repex_Splits,MATCH($I26,Act_Type_Repex,0),MATCH(BD$5,Mat_Type,0))*INDEX(Escalators!$I$44:$U$49,MATCH(BD$5,Escalators!$C$44:$C$49,0),MATCH(BD$6,Escalators!$I$43:$U$43,0)))</f>
        <v>0</v>
      </c>
      <c r="BE26" s="47">
        <f>IF($R26="",0,$L26*$AD26*INDEX(Act_Type_Repex_Splits,MATCH($I26,Act_Type_Repex,0),MATCH(BE$5,Mat_Type,0))*INDEX(Escalators!$I$44:$U$49,MATCH(BE$5,Escalators!$C$44:$C$49,0),MATCH(BE$6,Escalators!$I$43:$U$43,0)))</f>
        <v>0</v>
      </c>
      <c r="BF26" s="47">
        <f>IF($R26="",0,$L26*$AD26*INDEX(Act_Type_Repex_Splits,MATCH($I26,Act_Type_Repex,0),MATCH(BF$5,Mat_Type,0))*INDEX(Escalators!$I$44:$U$49,MATCH(BF$5,Escalators!$C$44:$C$49,0),MATCH(BF$6,Escalators!$I$43:$U$43,0)))</f>
        <v>0</v>
      </c>
      <c r="BG26" s="47">
        <f>IF($R26="",0,$L26*$AD26*INDEX(Act_Type_Repex_Splits,MATCH($I26,Act_Type_Repex,0),MATCH(BG$5,Mat_Type,0))*INDEX(Escalators!$I$44:$U$49,MATCH(BG$5,Escalators!$C$44:$C$49,0),MATCH(BG$6,Escalators!$I$43:$U$43,0)))</f>
        <v>0</v>
      </c>
      <c r="BH26" s="47">
        <f t="shared" ref="BH26:BH38" si="19">SUM(BC26:BG26)</f>
        <v>0</v>
      </c>
      <c r="BI26" s="47">
        <f>IF($R26="",0,$M26*$AD26*INDEX(Act_Type_Repex_Splits,MATCH($I26,Act_Type_Repex,0),MATCH(BI$5,Mat_Type,0))*INDEX(Escalators!$I$44:$U$49,MATCH(BI$5,Escalators!$C$44:$C$49,0),MATCH(BI$6,Escalators!$I$43:$U$43,0)))</f>
        <v>0</v>
      </c>
      <c r="BJ26" s="47">
        <f>IF($R26="",0,$M26*$AD26*INDEX(Act_Type_Repex_Splits,MATCH($I26,Act_Type_Repex,0),MATCH(BJ$5,Mat_Type,0))*INDEX(Escalators!$I$44:$U$49,MATCH(BJ$5,Escalators!$C$44:$C$49,0),MATCH(BJ$6,Escalators!$I$43:$U$43,0)))</f>
        <v>0</v>
      </c>
      <c r="BK26" s="47">
        <f>IF($R26="",0,$M26*$AD26*INDEX(Act_Type_Repex_Splits,MATCH($I26,Act_Type_Repex,0),MATCH(BK$5,Mat_Type,0))*INDEX(Escalators!$I$44:$U$49,MATCH(BK$5,Escalators!$C$44:$C$49,0),MATCH(BK$6,Escalators!$I$43:$U$43,0)))</f>
        <v>0</v>
      </c>
      <c r="BL26" s="47">
        <f>IF($R26="",0,$M26*$AD26*INDEX(Act_Type_Repex_Splits,MATCH($I26,Act_Type_Repex,0),MATCH(BL$5,Mat_Type,0))*INDEX(Escalators!$I$44:$U$49,MATCH(BL$5,Escalators!$C$44:$C$49,0),MATCH(BL$6,Escalators!$I$43:$U$43,0)))</f>
        <v>0</v>
      </c>
      <c r="BM26" s="47">
        <f>IF($R26="",0,$M26*$AD26*INDEX(Act_Type_Repex_Splits,MATCH($I26,Act_Type_Repex,0),MATCH(BM$5,Mat_Type,0))*INDEX(Escalators!$I$44:$U$49,MATCH(BM$5,Escalators!$C$44:$C$49,0),MATCH(BM$6,Escalators!$I$43:$U$43,0)))</f>
        <v>0</v>
      </c>
      <c r="BN26" s="47">
        <f t="shared" ref="BN26:BN38" si="20">SUM(BI26:BM26)</f>
        <v>0</v>
      </c>
      <c r="BO26" s="47">
        <f>IF($R26="",0,$N26*$AD26*INDEX(Act_Type_Repex_Splits,MATCH($I26,Act_Type_Repex,0),MATCH(BO$5,Mat_Type,0))*INDEX(Escalators!$I$44:$U$49,MATCH(BO$5,Escalators!$C$44:$C$49,0),MATCH(BO$6,Escalators!$I$43:$U$43,0)))</f>
        <v>0</v>
      </c>
      <c r="BP26" s="47">
        <f>IF($R26="",0,$N26*$AD26*INDEX(Act_Type_Repex_Splits,MATCH($I26,Act_Type_Repex,0),MATCH(BP$5,Mat_Type,0))*INDEX(Escalators!$I$44:$U$49,MATCH(BP$5,Escalators!$C$44:$C$49,0),MATCH(BP$6,Escalators!$I$43:$U$43,0)))</f>
        <v>0</v>
      </c>
      <c r="BQ26" s="47">
        <f>IF($R26="",0,$N26*$AD26*INDEX(Act_Type_Repex_Splits,MATCH($I26,Act_Type_Repex,0),MATCH(BQ$5,Mat_Type,0))*INDEX(Escalators!$I$44:$U$49,MATCH(BQ$5,Escalators!$C$44:$C$49,0),MATCH(BQ$6,Escalators!$I$43:$U$43,0)))</f>
        <v>0</v>
      </c>
      <c r="BR26" s="47">
        <f>IF($R26="",0,$N26*$AD26*INDEX(Act_Type_Repex_Splits,MATCH($I26,Act_Type_Repex,0),MATCH(BR$5,Mat_Type,0))*INDEX(Escalators!$I$44:$U$49,MATCH(BR$5,Escalators!$C$44:$C$49,0),MATCH(BR$6,Escalators!$I$43:$U$43,0)))</f>
        <v>0</v>
      </c>
      <c r="BS26" s="47">
        <f>IF($R26="",0,$N26*$AD26*INDEX(Act_Type_Repex_Splits,MATCH($I26,Act_Type_Repex,0),MATCH(BS$5,Mat_Type,0))*INDEX(Escalators!$I$44:$U$49,MATCH(BS$5,Escalators!$C$44:$C$49,0),MATCH(BS$6,Escalators!$I$43:$U$43,0)))</f>
        <v>0</v>
      </c>
      <c r="BT26" s="47">
        <f t="shared" ref="BT26:BT38" si="21">SUM(BO26:BS26)</f>
        <v>0</v>
      </c>
      <c r="BU26" s="47">
        <f>IF($R26="",0,$O26*$AD26*INDEX(Act_Type_Repex_Splits,MATCH($I26,Act_Type_Repex,0),MATCH(BU$5,Mat_Type,0))*INDEX(Escalators!$I$44:$U$49,MATCH(BU$5,Escalators!$C$44:$C$49,0),MATCH(BU$6,Escalators!$I$43:$U$43,0)))</f>
        <v>0</v>
      </c>
      <c r="BV26" s="47">
        <f>IF($R26="",0,$O26*$AD26*INDEX(Act_Type_Repex_Splits,MATCH($I26,Act_Type_Repex,0),MATCH(BV$5,Mat_Type,0))*INDEX(Escalators!$I$44:$U$49,MATCH(BV$5,Escalators!$C$44:$C$49,0),MATCH(BV$6,Escalators!$I$43:$U$43,0)))</f>
        <v>0</v>
      </c>
      <c r="BW26" s="47">
        <f>IF($R26="",0,$O26*$AD26*INDEX(Act_Type_Repex_Splits,MATCH($I26,Act_Type_Repex,0),MATCH(BW$5,Mat_Type,0))*INDEX(Escalators!$I$44:$U$49,MATCH(BW$5,Escalators!$C$44:$C$49,0),MATCH(BW$6,Escalators!$I$43:$U$43,0)))</f>
        <v>0</v>
      </c>
      <c r="BX26" s="47">
        <f>IF($R26="",0,$O26*$AD26*INDEX(Act_Type_Repex_Splits,MATCH($I26,Act_Type_Repex,0),MATCH(BX$5,Mat_Type,0))*INDEX(Escalators!$I$44:$U$49,MATCH(BX$5,Escalators!$C$44:$C$49,0),MATCH(BX$6,Escalators!$I$43:$U$43,0)))</f>
        <v>0</v>
      </c>
      <c r="BY26" s="47">
        <f>IF($R26="",0,$O26*$AD26*INDEX(Act_Type_Repex_Splits,MATCH($I26,Act_Type_Repex,0),MATCH(BY$5,Mat_Type,0))*INDEX(Escalators!$I$44:$U$49,MATCH(BY$5,Escalators!$C$44:$C$49,0),MATCH(BY$6,Escalators!$I$43:$U$43,0)))</f>
        <v>0</v>
      </c>
      <c r="BZ26" s="47">
        <f t="shared" ref="BZ26:BZ38" si="22">SUM(BU26:BY26)</f>
        <v>0</v>
      </c>
      <c r="CA26" s="47">
        <f>IF($R26="",0,$P26*$AD26*INDEX(Act_Type_Repex_Splits,MATCH($I26,Act_Type_Repex,0),MATCH(CA$5,Mat_Type,0))*INDEX(Escalators!$I$44:$U$49,MATCH(CA$5,Escalators!$C$44:$C$49,0),MATCH(CA$6,Escalators!$I$43:$U$43,0)))</f>
        <v>0</v>
      </c>
      <c r="CB26" s="47">
        <f>IF($R26="",0,$P26*$AD26*INDEX(Act_Type_Repex_Splits,MATCH($I26,Act_Type_Repex,0),MATCH(CB$5,Mat_Type,0))*INDEX(Escalators!$I$44:$U$49,MATCH(CB$5,Escalators!$C$44:$C$49,0),MATCH(CB$6,Escalators!$I$43:$U$43,0)))</f>
        <v>0</v>
      </c>
      <c r="CC26" s="47">
        <f>IF($R26="",0,$P26*$AD26*INDEX(Act_Type_Repex_Splits,MATCH($I26,Act_Type_Repex,0),MATCH(CC$5,Mat_Type,0))*INDEX(Escalators!$I$44:$U$49,MATCH(CC$5,Escalators!$C$44:$C$49,0),MATCH(CC$6,Escalators!$I$43:$U$43,0)))</f>
        <v>0</v>
      </c>
      <c r="CD26" s="47">
        <f>IF($R26="",0,$P26*$AD26*INDEX(Act_Type_Repex_Splits,MATCH($I26,Act_Type_Repex,0),MATCH(CD$5,Mat_Type,0))*INDEX(Escalators!$I$44:$U$49,MATCH(CD$5,Escalators!$C$44:$C$49,0),MATCH(CD$6,Escalators!$I$43:$U$43,0)))</f>
        <v>0</v>
      </c>
      <c r="CE26" s="47">
        <f>IF($R26="",0,$P26*$AD26*INDEX(Act_Type_Repex_Splits,MATCH($I26,Act_Type_Repex,0),MATCH(CE$5,Mat_Type,0))*INDEX(Escalators!$I$44:$U$49,MATCH(CE$5,Escalators!$C$44:$C$49,0),MATCH(CE$6,Escalators!$I$43:$U$43,0)))</f>
        <v>0</v>
      </c>
      <c r="CF26" s="47">
        <f t="shared" ref="CF26:CF38" si="23">SUM(CA26:CE26)</f>
        <v>0</v>
      </c>
      <c r="CG26" s="47">
        <f>IF($R26="",0,$Q26*$AD26*INDEX(Act_Type_Repex_Splits,MATCH($I26,Act_Type_Repex,0),MATCH(CG$5,Mat_Type,0))*INDEX(Escalators!$I$44:$U$49,MATCH(CG$5,Escalators!$C$44:$C$49,0),MATCH(CG$6,Escalators!$I$43:$U$43,0)))</f>
        <v>0</v>
      </c>
      <c r="CH26" s="47">
        <f>IF($R26="",0,$Q26*$AD26*INDEX(Act_Type_Repex_Splits,MATCH($I26,Act_Type_Repex,0),MATCH(CH$5,Mat_Type,0))*INDEX(Escalators!$I$44:$U$49,MATCH(CH$5,Escalators!$C$44:$C$49,0),MATCH(CH$6,Escalators!$I$43:$U$43,0)))</f>
        <v>0</v>
      </c>
      <c r="CI26" s="47">
        <f>IF($R26="",0,$Q26*$AD26*INDEX(Act_Type_Repex_Splits,MATCH($I26,Act_Type_Repex,0),MATCH(CI$5,Mat_Type,0))*INDEX(Escalators!$I$44:$U$49,MATCH(CI$5,Escalators!$C$44:$C$49,0),MATCH(CI$6,Escalators!$I$43:$U$43,0)))</f>
        <v>0</v>
      </c>
      <c r="CJ26" s="47">
        <f>IF($R26="",0,$Q26*$AD26*INDEX(Act_Type_Repex_Splits,MATCH($I26,Act_Type_Repex,0),MATCH(CJ$5,Mat_Type,0))*INDEX(Escalators!$I$44:$U$49,MATCH(CJ$5,Escalators!$C$44:$C$49,0),MATCH(CJ$6,Escalators!$I$43:$U$43,0)))</f>
        <v>0</v>
      </c>
      <c r="CK26" s="47">
        <f>IF($R26="",0,$Q26*$AD26*INDEX(Act_Type_Repex_Splits,MATCH($I26,Act_Type_Repex,0),MATCH(CK$5,Mat_Type,0))*INDEX(Escalators!$I$44:$U$49,MATCH(CK$5,Escalators!$C$44:$C$49,0),MATCH(CK$6,Escalators!$I$43:$U$43,0)))</f>
        <v>0</v>
      </c>
      <c r="CL26" s="47">
        <f t="shared" ref="CL26:CL38" si="24">SUM(CG26:CK26)</f>
        <v>0</v>
      </c>
      <c r="CN26" s="47">
        <f>IF($R26="",0,J26*$AE26*HLOOKUP(CN$6,Escalators!$I$25:$U$30,6,FALSE))</f>
        <v>0</v>
      </c>
      <c r="CO26" s="47">
        <f>IF($R26="",0,K26*$AE26*HLOOKUP(CO$6,Escalators!$I$25:$U$30,6,FALSE))</f>
        <v>0</v>
      </c>
      <c r="CP26" s="47">
        <f>IF($R26="",0,L26*$AE26*HLOOKUP(CP$6,Escalators!$I$25:$U$30,6,FALSE))</f>
        <v>0</v>
      </c>
      <c r="CQ26" s="47">
        <f>IF($R26="",0,M26*$AE26*HLOOKUP(CQ$6,Escalators!$I$25:$U$30,6,FALSE))</f>
        <v>0</v>
      </c>
      <c r="CR26" s="47">
        <f>IF($R26="",0,N26*$AE26*HLOOKUP(CR$6,Escalators!$I$25:$U$30,6,FALSE))</f>
        <v>0</v>
      </c>
      <c r="CS26" s="47">
        <f>IF($R26="",0,O26*$AE26*HLOOKUP(CS$6,Escalators!$I$25:$U$30,6,FALSE))</f>
        <v>0</v>
      </c>
      <c r="CT26" s="47">
        <f>IF($R26="",0,P26*$AE26*HLOOKUP(CT$6,Escalators!$I$25:$U$30,6,FALSE))</f>
        <v>0</v>
      </c>
      <c r="CU26" s="47">
        <f>IF($R26="",0,Q26*$AE26*HLOOKUP(CU$6,Escalators!$I$25:$U$30,6,FALSE))</f>
        <v>0</v>
      </c>
      <c r="CW26" s="83">
        <f t="shared" ref="CW26:CW38" si="25">IF($R26="",0,J26*$AF26)</f>
        <v>0</v>
      </c>
      <c r="CX26" s="83">
        <f t="shared" ref="CX26:CX38" si="26">IF($R26="",0,K26*$AF26)</f>
        <v>0</v>
      </c>
      <c r="CY26" s="83">
        <f t="shared" ref="CY26:CY38" si="27">IF($R26="",0,L26*$AF26)</f>
        <v>0</v>
      </c>
      <c r="CZ26" s="83">
        <f t="shared" ref="CZ26:CZ38" si="28">IF($R26="",0,M26*$AF26)</f>
        <v>0</v>
      </c>
      <c r="DA26" s="83">
        <f t="shared" ref="DA26:DA38" si="29">IF($R26="",0,N26*$AF26)</f>
        <v>0</v>
      </c>
      <c r="DB26" s="83">
        <f t="shared" ref="DB26:DB38" si="30">IF($R26="",0,O26*$AF26)</f>
        <v>0</v>
      </c>
      <c r="DC26" s="83">
        <f t="shared" ref="DC26:DC38" si="31">IF($R26="",0,P26*$AF26)</f>
        <v>0</v>
      </c>
      <c r="DD26" s="83">
        <f t="shared" ref="DD26:DD38" si="32">IF($R26="",0,Q26*$AF26)</f>
        <v>0</v>
      </c>
      <c r="DF26" s="47">
        <f t="shared" ref="DF26:DF38" si="33">AH26+AV26+CN26+CW26</f>
        <v>0</v>
      </c>
      <c r="DG26" s="47">
        <f t="shared" ref="DG26:DG38" si="34">AI26+BB26+CO26+CX26</f>
        <v>0</v>
      </c>
      <c r="DH26" s="47">
        <f t="shared" ref="DH26:DH38" si="35">AJ26+BH26+CP26+CY26</f>
        <v>0</v>
      </c>
      <c r="DI26" s="47">
        <f t="shared" ref="DI26:DI38" si="36">AK26+BN26+CQ26+CZ26</f>
        <v>0</v>
      </c>
      <c r="DJ26" s="47">
        <f t="shared" ref="DJ26:DJ38" si="37">AL26+BT26+CR26+DA26</f>
        <v>0</v>
      </c>
      <c r="DK26" s="47">
        <f t="shared" ref="DK26:DK38" si="38">AM26+BZ26+CS26+DB26</f>
        <v>0</v>
      </c>
      <c r="DL26" s="47">
        <f t="shared" ref="DL26:DL38" si="39">AN26+CF26+CT26+DC26</f>
        <v>0</v>
      </c>
      <c r="DM26" s="47">
        <f t="shared" ref="DM26:DM38" si="40">AO26+CL26+CU26+DD26</f>
        <v>0</v>
      </c>
      <c r="DO26" s="39"/>
    </row>
    <row r="27" spans="2:119" x14ac:dyDescent="0.3">
      <c r="B27" s="7"/>
      <c r="C27" s="7"/>
      <c r="D27" s="7"/>
      <c r="E27" s="7"/>
      <c r="F27" s="7"/>
      <c r="G27" s="7"/>
      <c r="H27" s="7"/>
      <c r="I27" s="7"/>
      <c r="J27" s="7"/>
      <c r="K27" s="7"/>
      <c r="L27" s="7"/>
      <c r="M27" s="7"/>
      <c r="N27" s="7"/>
      <c r="O27" s="7"/>
      <c r="P27" s="7"/>
      <c r="Q27" s="7"/>
      <c r="R27" s="46"/>
      <c r="T27" s="47">
        <f t="shared" si="8"/>
        <v>0</v>
      </c>
      <c r="U27" s="47">
        <f t="shared" si="9"/>
        <v>0</v>
      </c>
      <c r="V27" s="47">
        <f t="shared" si="10"/>
        <v>0</v>
      </c>
      <c r="W27" s="47">
        <f t="shared" si="11"/>
        <v>0</v>
      </c>
      <c r="X27" s="47">
        <f t="shared" si="12"/>
        <v>0</v>
      </c>
      <c r="Y27" s="47">
        <f t="shared" si="13"/>
        <v>0</v>
      </c>
      <c r="Z27" s="47">
        <f t="shared" si="14"/>
        <v>0</v>
      </c>
      <c r="AA27" s="47">
        <f t="shared" si="15"/>
        <v>0</v>
      </c>
      <c r="AC27" s="83">
        <f t="shared" si="16"/>
        <v>0</v>
      </c>
      <c r="AD27" s="83">
        <f t="shared" si="16"/>
        <v>0</v>
      </c>
      <c r="AE27" s="83">
        <f t="shared" si="16"/>
        <v>0</v>
      </c>
      <c r="AF27" s="83">
        <f t="shared" si="16"/>
        <v>0</v>
      </c>
      <c r="AH27" s="47">
        <f>IF($R27="",0,J27*$AC27*HLOOKUP(AH$6,Escalators!$I$25:$U$30,3,FALSE))</f>
        <v>0</v>
      </c>
      <c r="AI27" s="47">
        <f>IF($R27="",0,K27*$AC27*HLOOKUP(AI$6,Escalators!$I$25:$U$30,3,FALSE))</f>
        <v>0</v>
      </c>
      <c r="AJ27" s="47">
        <f>IF($R27="",0,L27*$AC27*HLOOKUP(AJ$6,Escalators!$I$25:$U$30,3,FALSE))</f>
        <v>0</v>
      </c>
      <c r="AK27" s="47">
        <f>IF($R27="",0,M27*$AC27*HLOOKUP(AK$6,Escalators!$I$25:$U$30,3,FALSE))</f>
        <v>0</v>
      </c>
      <c r="AL27" s="47">
        <f>IF($R27="",0,N27*$AC27*HLOOKUP(AL$6,Escalators!$I$25:$U$30,3,FALSE))</f>
        <v>0</v>
      </c>
      <c r="AM27" s="47">
        <f>IF($R27="",0,O27*$AC27*HLOOKUP(AM$6,Escalators!$I$25:$U$30,3,FALSE))</f>
        <v>0</v>
      </c>
      <c r="AN27" s="47">
        <f>IF($R27="",0,P27*$AC27*HLOOKUP(AN$6,Escalators!$I$25:$U$30,3,FALSE))</f>
        <v>0</v>
      </c>
      <c r="AO27" s="47">
        <f>IF($R27="",0,Q27*$AC27*HLOOKUP(AO$6,Escalators!$I$25:$U$30,3,FALSE))</f>
        <v>0</v>
      </c>
      <c r="AQ27" s="6">
        <f>IF($R27="",0,$J27*$AD27*INDEX(Act_Type_Repex_Splits,MATCH($I27,Act_Type_Repex,0),MATCH(AQ$5,Mat_Type,0))*INDEX(Escalators!$I$44:$U$49,MATCH(AQ$5,Escalators!$C$44:$C$49,0),MATCH(AQ$6,Escalators!$I$43:$U$43,0)))</f>
        <v>0</v>
      </c>
      <c r="AR27" s="6">
        <f>IF($R27="",0,$J27*$AD27*INDEX(Act_Type_Repex_Splits,MATCH($I27,Act_Type_Repex,0),MATCH(AR$5,Mat_Type,0))*INDEX(Escalators!$I$44:$U$49,MATCH(AR$5,Escalators!$C$44:$C$49,0),MATCH(AR$6,Escalators!$I$43:$U$43,0)))</f>
        <v>0</v>
      </c>
      <c r="AS27" s="6">
        <f>IF($R27="",0,$J27*$AD27*INDEX(Act_Type_Repex_Splits,MATCH($I27,Act_Type_Repex,0),MATCH(AS$5,Mat_Type,0))*INDEX(Escalators!$I$44:$U$49,MATCH(AS$5,Escalators!$C$44:$C$49,0),MATCH(AS$6,Escalators!$I$43:$U$43,0)))</f>
        <v>0</v>
      </c>
      <c r="AT27" s="6">
        <f>IF($R27="",0,$J27*$AD27*INDEX(Act_Type_Repex_Splits,MATCH($I27,Act_Type_Repex,0),MATCH(AT$5,Mat_Type,0))*INDEX(Escalators!$I$44:$U$49,MATCH(AT$5,Escalators!$C$44:$C$49,0),MATCH(AT$6,Escalators!$I$43:$U$43,0)))</f>
        <v>0</v>
      </c>
      <c r="AU27" s="6">
        <f>IF($R27="",0,$J27*$AD27*INDEX(Act_Type_Repex_Splits,MATCH($I27,Act_Type_Repex,0),MATCH(AU$5,Mat_Type,0))*INDEX(Escalators!$I$44:$U$49,MATCH(AU$5,Escalators!$C$44:$C$49,0),MATCH(AU$6,Escalators!$I$43:$U$43,0)))</f>
        <v>0</v>
      </c>
      <c r="AV27" s="47">
        <f t="shared" si="17"/>
        <v>0</v>
      </c>
      <c r="AW27" s="47">
        <f>IF($R27="",0,$K27*$AD27*INDEX(Act_Type_Repex_Splits,MATCH($I27,Act_Type_Repex,0),MATCH(AW$5,Mat_Type,0))*INDEX(Escalators!$I$44:$U$49,MATCH(AW$5,Escalators!$C$44:$C$49,0),MATCH(AW$6,Escalators!$I$43:$U$43,0)))</f>
        <v>0</v>
      </c>
      <c r="AX27" s="47">
        <f>IF($R27="",0,$K27*$AD27*INDEX(Act_Type_Repex_Splits,MATCH($I27,Act_Type_Repex,0),MATCH(AX$5,Mat_Type,0))*INDEX(Escalators!$I$44:$U$49,MATCH(AX$5,Escalators!$C$44:$C$49,0),MATCH(AX$6,Escalators!$I$43:$U$43,0)))</f>
        <v>0</v>
      </c>
      <c r="AY27" s="47">
        <f>IF($R27="",0,$K27*$AD27*INDEX(Act_Type_Repex_Splits,MATCH($I27,Act_Type_Repex,0),MATCH(AY$5,Mat_Type,0))*INDEX(Escalators!$I$44:$U$49,MATCH(AY$5,Escalators!$C$44:$C$49,0),MATCH(AY$6,Escalators!$I$43:$U$43,0)))</f>
        <v>0</v>
      </c>
      <c r="AZ27" s="47">
        <f>IF($R27="",0,$K27*$AD27*INDEX(Act_Type_Repex_Splits,MATCH($I27,Act_Type_Repex,0),MATCH(AZ$5,Mat_Type,0))*INDEX(Escalators!$I$44:$U$49,MATCH(AZ$5,Escalators!$C$44:$C$49,0),MATCH(AZ$6,Escalators!$I$43:$U$43,0)))</f>
        <v>0</v>
      </c>
      <c r="BA27" s="47">
        <f>IF($R27="",0,$K27*$AD27*INDEX(Act_Type_Repex_Splits,MATCH($I27,Act_Type_Repex,0),MATCH(BA$5,Mat_Type,0))*INDEX(Escalators!$I$44:$U$49,MATCH(BA$5,Escalators!$C$44:$C$49,0),MATCH(BA$6,Escalators!$I$43:$U$43,0)))</f>
        <v>0</v>
      </c>
      <c r="BB27" s="47">
        <f t="shared" si="18"/>
        <v>0</v>
      </c>
      <c r="BC27" s="47">
        <f>IF($R27="",0,$L27*$AD27*INDEX(Act_Type_Repex_Splits,MATCH($I27,Act_Type_Repex,0),MATCH(BC$5,Mat_Type,0))*INDEX(Escalators!$I$44:$U$49,MATCH(BC$5,Escalators!$C$44:$C$49,0),MATCH(BC$6,Escalators!$I$43:$U$43,0)))</f>
        <v>0</v>
      </c>
      <c r="BD27" s="47">
        <f>IF($R27="",0,$L27*$AD27*INDEX(Act_Type_Repex_Splits,MATCH($I27,Act_Type_Repex,0),MATCH(BD$5,Mat_Type,0))*INDEX(Escalators!$I$44:$U$49,MATCH(BD$5,Escalators!$C$44:$C$49,0),MATCH(BD$6,Escalators!$I$43:$U$43,0)))</f>
        <v>0</v>
      </c>
      <c r="BE27" s="47">
        <f>IF($R27="",0,$L27*$AD27*INDEX(Act_Type_Repex_Splits,MATCH($I27,Act_Type_Repex,0),MATCH(BE$5,Mat_Type,0))*INDEX(Escalators!$I$44:$U$49,MATCH(BE$5,Escalators!$C$44:$C$49,0),MATCH(BE$6,Escalators!$I$43:$U$43,0)))</f>
        <v>0</v>
      </c>
      <c r="BF27" s="47">
        <f>IF($R27="",0,$L27*$AD27*INDEX(Act_Type_Repex_Splits,MATCH($I27,Act_Type_Repex,0),MATCH(BF$5,Mat_Type,0))*INDEX(Escalators!$I$44:$U$49,MATCH(BF$5,Escalators!$C$44:$C$49,0),MATCH(BF$6,Escalators!$I$43:$U$43,0)))</f>
        <v>0</v>
      </c>
      <c r="BG27" s="47">
        <f>IF($R27="",0,$L27*$AD27*INDEX(Act_Type_Repex_Splits,MATCH($I27,Act_Type_Repex,0),MATCH(BG$5,Mat_Type,0))*INDEX(Escalators!$I$44:$U$49,MATCH(BG$5,Escalators!$C$44:$C$49,0),MATCH(BG$6,Escalators!$I$43:$U$43,0)))</f>
        <v>0</v>
      </c>
      <c r="BH27" s="47">
        <f t="shared" si="19"/>
        <v>0</v>
      </c>
      <c r="BI27" s="47">
        <f>IF($R27="",0,$M27*$AD27*INDEX(Act_Type_Repex_Splits,MATCH($I27,Act_Type_Repex,0),MATCH(BI$5,Mat_Type,0))*INDEX(Escalators!$I$44:$U$49,MATCH(BI$5,Escalators!$C$44:$C$49,0),MATCH(BI$6,Escalators!$I$43:$U$43,0)))</f>
        <v>0</v>
      </c>
      <c r="BJ27" s="47">
        <f>IF($R27="",0,$M27*$AD27*INDEX(Act_Type_Repex_Splits,MATCH($I27,Act_Type_Repex,0),MATCH(BJ$5,Mat_Type,0))*INDEX(Escalators!$I$44:$U$49,MATCH(BJ$5,Escalators!$C$44:$C$49,0),MATCH(BJ$6,Escalators!$I$43:$U$43,0)))</f>
        <v>0</v>
      </c>
      <c r="BK27" s="47">
        <f>IF($R27="",0,$M27*$AD27*INDEX(Act_Type_Repex_Splits,MATCH($I27,Act_Type_Repex,0),MATCH(BK$5,Mat_Type,0))*INDEX(Escalators!$I$44:$U$49,MATCH(BK$5,Escalators!$C$44:$C$49,0),MATCH(BK$6,Escalators!$I$43:$U$43,0)))</f>
        <v>0</v>
      </c>
      <c r="BL27" s="47">
        <f>IF($R27="",0,$M27*$AD27*INDEX(Act_Type_Repex_Splits,MATCH($I27,Act_Type_Repex,0),MATCH(BL$5,Mat_Type,0))*INDEX(Escalators!$I$44:$U$49,MATCH(BL$5,Escalators!$C$44:$C$49,0),MATCH(BL$6,Escalators!$I$43:$U$43,0)))</f>
        <v>0</v>
      </c>
      <c r="BM27" s="47">
        <f>IF($R27="",0,$M27*$AD27*INDEX(Act_Type_Repex_Splits,MATCH($I27,Act_Type_Repex,0),MATCH(BM$5,Mat_Type,0))*INDEX(Escalators!$I$44:$U$49,MATCH(BM$5,Escalators!$C$44:$C$49,0),MATCH(BM$6,Escalators!$I$43:$U$43,0)))</f>
        <v>0</v>
      </c>
      <c r="BN27" s="47">
        <f t="shared" si="20"/>
        <v>0</v>
      </c>
      <c r="BO27" s="47">
        <f>IF($R27="",0,$N27*$AD27*INDEX(Act_Type_Repex_Splits,MATCH($I27,Act_Type_Repex,0),MATCH(BO$5,Mat_Type,0))*INDEX(Escalators!$I$44:$U$49,MATCH(BO$5,Escalators!$C$44:$C$49,0),MATCH(BO$6,Escalators!$I$43:$U$43,0)))</f>
        <v>0</v>
      </c>
      <c r="BP27" s="47">
        <f>IF($R27="",0,$N27*$AD27*INDEX(Act_Type_Repex_Splits,MATCH($I27,Act_Type_Repex,0),MATCH(BP$5,Mat_Type,0))*INDEX(Escalators!$I$44:$U$49,MATCH(BP$5,Escalators!$C$44:$C$49,0),MATCH(BP$6,Escalators!$I$43:$U$43,0)))</f>
        <v>0</v>
      </c>
      <c r="BQ27" s="47">
        <f>IF($R27="",0,$N27*$AD27*INDEX(Act_Type_Repex_Splits,MATCH($I27,Act_Type_Repex,0),MATCH(BQ$5,Mat_Type,0))*INDEX(Escalators!$I$44:$U$49,MATCH(BQ$5,Escalators!$C$44:$C$49,0),MATCH(BQ$6,Escalators!$I$43:$U$43,0)))</f>
        <v>0</v>
      </c>
      <c r="BR27" s="47">
        <f>IF($R27="",0,$N27*$AD27*INDEX(Act_Type_Repex_Splits,MATCH($I27,Act_Type_Repex,0),MATCH(BR$5,Mat_Type,0))*INDEX(Escalators!$I$44:$U$49,MATCH(BR$5,Escalators!$C$44:$C$49,0),MATCH(BR$6,Escalators!$I$43:$U$43,0)))</f>
        <v>0</v>
      </c>
      <c r="BS27" s="47">
        <f>IF($R27="",0,$N27*$AD27*INDEX(Act_Type_Repex_Splits,MATCH($I27,Act_Type_Repex,0),MATCH(BS$5,Mat_Type,0))*INDEX(Escalators!$I$44:$U$49,MATCH(BS$5,Escalators!$C$44:$C$49,0),MATCH(BS$6,Escalators!$I$43:$U$43,0)))</f>
        <v>0</v>
      </c>
      <c r="BT27" s="47">
        <f t="shared" si="21"/>
        <v>0</v>
      </c>
      <c r="BU27" s="47">
        <f>IF($R27="",0,$O27*$AD27*INDEX(Act_Type_Repex_Splits,MATCH($I27,Act_Type_Repex,0),MATCH(BU$5,Mat_Type,0))*INDEX(Escalators!$I$44:$U$49,MATCH(BU$5,Escalators!$C$44:$C$49,0),MATCH(BU$6,Escalators!$I$43:$U$43,0)))</f>
        <v>0</v>
      </c>
      <c r="BV27" s="47">
        <f>IF($R27="",0,$O27*$AD27*INDEX(Act_Type_Repex_Splits,MATCH($I27,Act_Type_Repex,0),MATCH(BV$5,Mat_Type,0))*INDEX(Escalators!$I$44:$U$49,MATCH(BV$5,Escalators!$C$44:$C$49,0),MATCH(BV$6,Escalators!$I$43:$U$43,0)))</f>
        <v>0</v>
      </c>
      <c r="BW27" s="47">
        <f>IF($R27="",0,$O27*$AD27*INDEX(Act_Type_Repex_Splits,MATCH($I27,Act_Type_Repex,0),MATCH(BW$5,Mat_Type,0))*INDEX(Escalators!$I$44:$U$49,MATCH(BW$5,Escalators!$C$44:$C$49,0),MATCH(BW$6,Escalators!$I$43:$U$43,0)))</f>
        <v>0</v>
      </c>
      <c r="BX27" s="47">
        <f>IF($R27="",0,$O27*$AD27*INDEX(Act_Type_Repex_Splits,MATCH($I27,Act_Type_Repex,0),MATCH(BX$5,Mat_Type,0))*INDEX(Escalators!$I$44:$U$49,MATCH(BX$5,Escalators!$C$44:$C$49,0),MATCH(BX$6,Escalators!$I$43:$U$43,0)))</f>
        <v>0</v>
      </c>
      <c r="BY27" s="47">
        <f>IF($R27="",0,$O27*$AD27*INDEX(Act_Type_Repex_Splits,MATCH($I27,Act_Type_Repex,0),MATCH(BY$5,Mat_Type,0))*INDEX(Escalators!$I$44:$U$49,MATCH(BY$5,Escalators!$C$44:$C$49,0),MATCH(BY$6,Escalators!$I$43:$U$43,0)))</f>
        <v>0</v>
      </c>
      <c r="BZ27" s="47">
        <f t="shared" si="22"/>
        <v>0</v>
      </c>
      <c r="CA27" s="47">
        <f>IF($R27="",0,$P27*$AD27*INDEX(Act_Type_Repex_Splits,MATCH($I27,Act_Type_Repex,0),MATCH(CA$5,Mat_Type,0))*INDEX(Escalators!$I$44:$U$49,MATCH(CA$5,Escalators!$C$44:$C$49,0),MATCH(CA$6,Escalators!$I$43:$U$43,0)))</f>
        <v>0</v>
      </c>
      <c r="CB27" s="47">
        <f>IF($R27="",0,$P27*$AD27*INDEX(Act_Type_Repex_Splits,MATCH($I27,Act_Type_Repex,0),MATCH(CB$5,Mat_Type,0))*INDEX(Escalators!$I$44:$U$49,MATCH(CB$5,Escalators!$C$44:$C$49,0),MATCH(CB$6,Escalators!$I$43:$U$43,0)))</f>
        <v>0</v>
      </c>
      <c r="CC27" s="47">
        <f>IF($R27="",0,$P27*$AD27*INDEX(Act_Type_Repex_Splits,MATCH($I27,Act_Type_Repex,0),MATCH(CC$5,Mat_Type,0))*INDEX(Escalators!$I$44:$U$49,MATCH(CC$5,Escalators!$C$44:$C$49,0),MATCH(CC$6,Escalators!$I$43:$U$43,0)))</f>
        <v>0</v>
      </c>
      <c r="CD27" s="47">
        <f>IF($R27="",0,$P27*$AD27*INDEX(Act_Type_Repex_Splits,MATCH($I27,Act_Type_Repex,0),MATCH(CD$5,Mat_Type,0))*INDEX(Escalators!$I$44:$U$49,MATCH(CD$5,Escalators!$C$44:$C$49,0),MATCH(CD$6,Escalators!$I$43:$U$43,0)))</f>
        <v>0</v>
      </c>
      <c r="CE27" s="47">
        <f>IF($R27="",0,$P27*$AD27*INDEX(Act_Type_Repex_Splits,MATCH($I27,Act_Type_Repex,0),MATCH(CE$5,Mat_Type,0))*INDEX(Escalators!$I$44:$U$49,MATCH(CE$5,Escalators!$C$44:$C$49,0),MATCH(CE$6,Escalators!$I$43:$U$43,0)))</f>
        <v>0</v>
      </c>
      <c r="CF27" s="47">
        <f t="shared" si="23"/>
        <v>0</v>
      </c>
      <c r="CG27" s="47">
        <f>IF($R27="",0,$Q27*$AD27*INDEX(Act_Type_Repex_Splits,MATCH($I27,Act_Type_Repex,0),MATCH(CG$5,Mat_Type,0))*INDEX(Escalators!$I$44:$U$49,MATCH(CG$5,Escalators!$C$44:$C$49,0),MATCH(CG$6,Escalators!$I$43:$U$43,0)))</f>
        <v>0</v>
      </c>
      <c r="CH27" s="47">
        <f>IF($R27="",0,$Q27*$AD27*INDEX(Act_Type_Repex_Splits,MATCH($I27,Act_Type_Repex,0),MATCH(CH$5,Mat_Type,0))*INDEX(Escalators!$I$44:$U$49,MATCH(CH$5,Escalators!$C$44:$C$49,0),MATCH(CH$6,Escalators!$I$43:$U$43,0)))</f>
        <v>0</v>
      </c>
      <c r="CI27" s="47">
        <f>IF($R27="",0,$Q27*$AD27*INDEX(Act_Type_Repex_Splits,MATCH($I27,Act_Type_Repex,0),MATCH(CI$5,Mat_Type,0))*INDEX(Escalators!$I$44:$U$49,MATCH(CI$5,Escalators!$C$44:$C$49,0),MATCH(CI$6,Escalators!$I$43:$U$43,0)))</f>
        <v>0</v>
      </c>
      <c r="CJ27" s="47">
        <f>IF($R27="",0,$Q27*$AD27*INDEX(Act_Type_Repex_Splits,MATCH($I27,Act_Type_Repex,0),MATCH(CJ$5,Mat_Type,0))*INDEX(Escalators!$I$44:$U$49,MATCH(CJ$5,Escalators!$C$44:$C$49,0),MATCH(CJ$6,Escalators!$I$43:$U$43,0)))</f>
        <v>0</v>
      </c>
      <c r="CK27" s="47">
        <f>IF($R27="",0,$Q27*$AD27*INDEX(Act_Type_Repex_Splits,MATCH($I27,Act_Type_Repex,0),MATCH(CK$5,Mat_Type,0))*INDEX(Escalators!$I$44:$U$49,MATCH(CK$5,Escalators!$C$44:$C$49,0),MATCH(CK$6,Escalators!$I$43:$U$43,0)))</f>
        <v>0</v>
      </c>
      <c r="CL27" s="47">
        <f t="shared" si="24"/>
        <v>0</v>
      </c>
      <c r="CN27" s="47">
        <f>IF($R27="",0,J27*$AE27*HLOOKUP(CN$6,Escalators!$I$25:$U$30,6,FALSE))</f>
        <v>0</v>
      </c>
      <c r="CO27" s="47">
        <f>IF($R27="",0,K27*$AE27*HLOOKUP(CO$6,Escalators!$I$25:$U$30,6,FALSE))</f>
        <v>0</v>
      </c>
      <c r="CP27" s="47">
        <f>IF($R27="",0,L27*$AE27*HLOOKUP(CP$6,Escalators!$I$25:$U$30,6,FALSE))</f>
        <v>0</v>
      </c>
      <c r="CQ27" s="47">
        <f>IF($R27="",0,M27*$AE27*HLOOKUP(CQ$6,Escalators!$I$25:$U$30,6,FALSE))</f>
        <v>0</v>
      </c>
      <c r="CR27" s="47">
        <f>IF($R27="",0,N27*$AE27*HLOOKUP(CR$6,Escalators!$I$25:$U$30,6,FALSE))</f>
        <v>0</v>
      </c>
      <c r="CS27" s="47">
        <f>IF($R27="",0,O27*$AE27*HLOOKUP(CS$6,Escalators!$I$25:$U$30,6,FALSE))</f>
        <v>0</v>
      </c>
      <c r="CT27" s="47">
        <f>IF($R27="",0,P27*$AE27*HLOOKUP(CT$6,Escalators!$I$25:$U$30,6,FALSE))</f>
        <v>0</v>
      </c>
      <c r="CU27" s="47">
        <f>IF($R27="",0,Q27*$AE27*HLOOKUP(CU$6,Escalators!$I$25:$U$30,6,FALSE))</f>
        <v>0</v>
      </c>
      <c r="CW27" s="83">
        <f t="shared" si="25"/>
        <v>0</v>
      </c>
      <c r="CX27" s="83">
        <f t="shared" si="26"/>
        <v>0</v>
      </c>
      <c r="CY27" s="83">
        <f t="shared" si="27"/>
        <v>0</v>
      </c>
      <c r="CZ27" s="83">
        <f t="shared" si="28"/>
        <v>0</v>
      </c>
      <c r="DA27" s="83">
        <f t="shared" si="29"/>
        <v>0</v>
      </c>
      <c r="DB27" s="83">
        <f t="shared" si="30"/>
        <v>0</v>
      </c>
      <c r="DC27" s="83">
        <f t="shared" si="31"/>
        <v>0</v>
      </c>
      <c r="DD27" s="83">
        <f t="shared" si="32"/>
        <v>0</v>
      </c>
      <c r="DF27" s="47">
        <f t="shared" si="33"/>
        <v>0</v>
      </c>
      <c r="DG27" s="47">
        <f t="shared" si="34"/>
        <v>0</v>
      </c>
      <c r="DH27" s="47">
        <f t="shared" si="35"/>
        <v>0</v>
      </c>
      <c r="DI27" s="47">
        <f t="shared" si="36"/>
        <v>0</v>
      </c>
      <c r="DJ27" s="47">
        <f t="shared" si="37"/>
        <v>0</v>
      </c>
      <c r="DK27" s="47">
        <f t="shared" si="38"/>
        <v>0</v>
      </c>
      <c r="DL27" s="47">
        <f t="shared" si="39"/>
        <v>0</v>
      </c>
      <c r="DM27" s="47">
        <f t="shared" si="40"/>
        <v>0</v>
      </c>
      <c r="DO27" s="39"/>
    </row>
    <row r="28" spans="2:119" x14ac:dyDescent="0.3">
      <c r="B28" s="7"/>
      <c r="C28" s="7"/>
      <c r="D28" s="7"/>
      <c r="E28" s="7"/>
      <c r="F28" s="7"/>
      <c r="G28" s="7"/>
      <c r="H28" s="7"/>
      <c r="I28" s="7"/>
      <c r="J28" s="7"/>
      <c r="K28" s="7"/>
      <c r="L28" s="7"/>
      <c r="M28" s="7"/>
      <c r="N28" s="7"/>
      <c r="O28" s="7"/>
      <c r="P28" s="7"/>
      <c r="Q28" s="7"/>
      <c r="R28" s="46"/>
      <c r="T28" s="47">
        <f t="shared" si="8"/>
        <v>0</v>
      </c>
      <c r="U28" s="47">
        <f t="shared" si="9"/>
        <v>0</v>
      </c>
      <c r="V28" s="47">
        <f t="shared" si="10"/>
        <v>0</v>
      </c>
      <c r="W28" s="47">
        <f t="shared" si="11"/>
        <v>0</v>
      </c>
      <c r="X28" s="47">
        <f t="shared" si="12"/>
        <v>0</v>
      </c>
      <c r="Y28" s="47">
        <f t="shared" si="13"/>
        <v>0</v>
      </c>
      <c r="Z28" s="47">
        <f t="shared" si="14"/>
        <v>0</v>
      </c>
      <c r="AA28" s="47">
        <f t="shared" si="15"/>
        <v>0</v>
      </c>
      <c r="AC28" s="83">
        <f t="shared" si="16"/>
        <v>0</v>
      </c>
      <c r="AD28" s="83">
        <f t="shared" si="16"/>
        <v>0</v>
      </c>
      <c r="AE28" s="83">
        <f t="shared" si="16"/>
        <v>0</v>
      </c>
      <c r="AF28" s="83">
        <f t="shared" si="16"/>
        <v>0</v>
      </c>
      <c r="AH28" s="47">
        <f>IF($R28="",0,J28*$AC28*HLOOKUP(AH$6,Escalators!$I$25:$U$30,3,FALSE))</f>
        <v>0</v>
      </c>
      <c r="AI28" s="47">
        <f>IF($R28="",0,K28*$AC28*HLOOKUP(AI$6,Escalators!$I$25:$U$30,3,FALSE))</f>
        <v>0</v>
      </c>
      <c r="AJ28" s="47">
        <f>IF($R28="",0,L28*$AC28*HLOOKUP(AJ$6,Escalators!$I$25:$U$30,3,FALSE))</f>
        <v>0</v>
      </c>
      <c r="AK28" s="47">
        <f>IF($R28="",0,M28*$AC28*HLOOKUP(AK$6,Escalators!$I$25:$U$30,3,FALSE))</f>
        <v>0</v>
      </c>
      <c r="AL28" s="47">
        <f>IF($R28="",0,N28*$AC28*HLOOKUP(AL$6,Escalators!$I$25:$U$30,3,FALSE))</f>
        <v>0</v>
      </c>
      <c r="AM28" s="47">
        <f>IF($R28="",0,O28*$AC28*HLOOKUP(AM$6,Escalators!$I$25:$U$30,3,FALSE))</f>
        <v>0</v>
      </c>
      <c r="AN28" s="47">
        <f>IF($R28="",0,P28*$AC28*HLOOKUP(AN$6,Escalators!$I$25:$U$30,3,FALSE))</f>
        <v>0</v>
      </c>
      <c r="AO28" s="47">
        <f>IF($R28="",0,Q28*$AC28*HLOOKUP(AO$6,Escalators!$I$25:$U$30,3,FALSE))</f>
        <v>0</v>
      </c>
      <c r="AQ28" s="6">
        <f>IF($R28="",0,$J28*$AD28*INDEX(Act_Type_Repex_Splits,MATCH($I28,Act_Type_Repex,0),MATCH(AQ$5,Mat_Type,0))*INDEX(Escalators!$I$44:$U$49,MATCH(AQ$5,Escalators!$C$44:$C$49,0),MATCH(AQ$6,Escalators!$I$43:$U$43,0)))</f>
        <v>0</v>
      </c>
      <c r="AR28" s="6">
        <f>IF($R28="",0,$J28*$AD28*INDEX(Act_Type_Repex_Splits,MATCH($I28,Act_Type_Repex,0),MATCH(AR$5,Mat_Type,0))*INDEX(Escalators!$I$44:$U$49,MATCH(AR$5,Escalators!$C$44:$C$49,0),MATCH(AR$6,Escalators!$I$43:$U$43,0)))</f>
        <v>0</v>
      </c>
      <c r="AS28" s="6">
        <f>IF($R28="",0,$J28*$AD28*INDEX(Act_Type_Repex_Splits,MATCH($I28,Act_Type_Repex,0),MATCH(AS$5,Mat_Type,0))*INDEX(Escalators!$I$44:$U$49,MATCH(AS$5,Escalators!$C$44:$C$49,0),MATCH(AS$6,Escalators!$I$43:$U$43,0)))</f>
        <v>0</v>
      </c>
      <c r="AT28" s="6">
        <f>IF($R28="",0,$J28*$AD28*INDEX(Act_Type_Repex_Splits,MATCH($I28,Act_Type_Repex,0),MATCH(AT$5,Mat_Type,0))*INDEX(Escalators!$I$44:$U$49,MATCH(AT$5,Escalators!$C$44:$C$49,0),MATCH(AT$6,Escalators!$I$43:$U$43,0)))</f>
        <v>0</v>
      </c>
      <c r="AU28" s="6">
        <f>IF($R28="",0,$J28*$AD28*INDEX(Act_Type_Repex_Splits,MATCH($I28,Act_Type_Repex,0),MATCH(AU$5,Mat_Type,0))*INDEX(Escalators!$I$44:$U$49,MATCH(AU$5,Escalators!$C$44:$C$49,0),MATCH(AU$6,Escalators!$I$43:$U$43,0)))</f>
        <v>0</v>
      </c>
      <c r="AV28" s="47">
        <f t="shared" si="17"/>
        <v>0</v>
      </c>
      <c r="AW28" s="47">
        <f>IF($R28="",0,$K28*$AD28*INDEX(Act_Type_Repex_Splits,MATCH($I28,Act_Type_Repex,0),MATCH(AW$5,Mat_Type,0))*INDEX(Escalators!$I$44:$U$49,MATCH(AW$5,Escalators!$C$44:$C$49,0),MATCH(AW$6,Escalators!$I$43:$U$43,0)))</f>
        <v>0</v>
      </c>
      <c r="AX28" s="47">
        <f>IF($R28="",0,$K28*$AD28*INDEX(Act_Type_Repex_Splits,MATCH($I28,Act_Type_Repex,0),MATCH(AX$5,Mat_Type,0))*INDEX(Escalators!$I$44:$U$49,MATCH(AX$5,Escalators!$C$44:$C$49,0),MATCH(AX$6,Escalators!$I$43:$U$43,0)))</f>
        <v>0</v>
      </c>
      <c r="AY28" s="47">
        <f>IF($R28="",0,$K28*$AD28*INDEX(Act_Type_Repex_Splits,MATCH($I28,Act_Type_Repex,0),MATCH(AY$5,Mat_Type,0))*INDEX(Escalators!$I$44:$U$49,MATCH(AY$5,Escalators!$C$44:$C$49,0),MATCH(AY$6,Escalators!$I$43:$U$43,0)))</f>
        <v>0</v>
      </c>
      <c r="AZ28" s="47">
        <f>IF($R28="",0,$K28*$AD28*INDEX(Act_Type_Repex_Splits,MATCH($I28,Act_Type_Repex,0),MATCH(AZ$5,Mat_Type,0))*INDEX(Escalators!$I$44:$U$49,MATCH(AZ$5,Escalators!$C$44:$C$49,0),MATCH(AZ$6,Escalators!$I$43:$U$43,0)))</f>
        <v>0</v>
      </c>
      <c r="BA28" s="47">
        <f>IF($R28="",0,$K28*$AD28*INDEX(Act_Type_Repex_Splits,MATCH($I28,Act_Type_Repex,0),MATCH(BA$5,Mat_Type,0))*INDEX(Escalators!$I$44:$U$49,MATCH(BA$5,Escalators!$C$44:$C$49,0),MATCH(BA$6,Escalators!$I$43:$U$43,0)))</f>
        <v>0</v>
      </c>
      <c r="BB28" s="47">
        <f t="shared" si="18"/>
        <v>0</v>
      </c>
      <c r="BC28" s="47">
        <f>IF($R28="",0,$L28*$AD28*INDEX(Act_Type_Repex_Splits,MATCH($I28,Act_Type_Repex,0),MATCH(BC$5,Mat_Type,0))*INDEX(Escalators!$I$44:$U$49,MATCH(BC$5,Escalators!$C$44:$C$49,0),MATCH(BC$6,Escalators!$I$43:$U$43,0)))</f>
        <v>0</v>
      </c>
      <c r="BD28" s="47">
        <f>IF($R28="",0,$L28*$AD28*INDEX(Act_Type_Repex_Splits,MATCH($I28,Act_Type_Repex,0),MATCH(BD$5,Mat_Type,0))*INDEX(Escalators!$I$44:$U$49,MATCH(BD$5,Escalators!$C$44:$C$49,0),MATCH(BD$6,Escalators!$I$43:$U$43,0)))</f>
        <v>0</v>
      </c>
      <c r="BE28" s="47">
        <f>IF($R28="",0,$L28*$AD28*INDEX(Act_Type_Repex_Splits,MATCH($I28,Act_Type_Repex,0),MATCH(BE$5,Mat_Type,0))*INDEX(Escalators!$I$44:$U$49,MATCH(BE$5,Escalators!$C$44:$C$49,0),MATCH(BE$6,Escalators!$I$43:$U$43,0)))</f>
        <v>0</v>
      </c>
      <c r="BF28" s="47">
        <f>IF($R28="",0,$L28*$AD28*INDEX(Act_Type_Repex_Splits,MATCH($I28,Act_Type_Repex,0),MATCH(BF$5,Mat_Type,0))*INDEX(Escalators!$I$44:$U$49,MATCH(BF$5,Escalators!$C$44:$C$49,0),MATCH(BF$6,Escalators!$I$43:$U$43,0)))</f>
        <v>0</v>
      </c>
      <c r="BG28" s="47">
        <f>IF($R28="",0,$L28*$AD28*INDEX(Act_Type_Repex_Splits,MATCH($I28,Act_Type_Repex,0),MATCH(BG$5,Mat_Type,0))*INDEX(Escalators!$I$44:$U$49,MATCH(BG$5,Escalators!$C$44:$C$49,0),MATCH(BG$6,Escalators!$I$43:$U$43,0)))</f>
        <v>0</v>
      </c>
      <c r="BH28" s="47">
        <f t="shared" si="19"/>
        <v>0</v>
      </c>
      <c r="BI28" s="47">
        <f>IF($R28="",0,$M28*$AD28*INDEX(Act_Type_Repex_Splits,MATCH($I28,Act_Type_Repex,0),MATCH(BI$5,Mat_Type,0))*INDEX(Escalators!$I$44:$U$49,MATCH(BI$5,Escalators!$C$44:$C$49,0),MATCH(BI$6,Escalators!$I$43:$U$43,0)))</f>
        <v>0</v>
      </c>
      <c r="BJ28" s="47">
        <f>IF($R28="",0,$M28*$AD28*INDEX(Act_Type_Repex_Splits,MATCH($I28,Act_Type_Repex,0),MATCH(BJ$5,Mat_Type,0))*INDEX(Escalators!$I$44:$U$49,MATCH(BJ$5,Escalators!$C$44:$C$49,0),MATCH(BJ$6,Escalators!$I$43:$U$43,0)))</f>
        <v>0</v>
      </c>
      <c r="BK28" s="47">
        <f>IF($R28="",0,$M28*$AD28*INDEX(Act_Type_Repex_Splits,MATCH($I28,Act_Type_Repex,0),MATCH(BK$5,Mat_Type,0))*INDEX(Escalators!$I$44:$U$49,MATCH(BK$5,Escalators!$C$44:$C$49,0),MATCH(BK$6,Escalators!$I$43:$U$43,0)))</f>
        <v>0</v>
      </c>
      <c r="BL28" s="47">
        <f>IF($R28="",0,$M28*$AD28*INDEX(Act_Type_Repex_Splits,MATCH($I28,Act_Type_Repex,0),MATCH(BL$5,Mat_Type,0))*INDEX(Escalators!$I$44:$U$49,MATCH(BL$5,Escalators!$C$44:$C$49,0),MATCH(BL$6,Escalators!$I$43:$U$43,0)))</f>
        <v>0</v>
      </c>
      <c r="BM28" s="47">
        <f>IF($R28="",0,$M28*$AD28*INDEX(Act_Type_Repex_Splits,MATCH($I28,Act_Type_Repex,0),MATCH(BM$5,Mat_Type,0))*INDEX(Escalators!$I$44:$U$49,MATCH(BM$5,Escalators!$C$44:$C$49,0),MATCH(BM$6,Escalators!$I$43:$U$43,0)))</f>
        <v>0</v>
      </c>
      <c r="BN28" s="47">
        <f t="shared" si="20"/>
        <v>0</v>
      </c>
      <c r="BO28" s="47">
        <f>IF($R28="",0,$N28*$AD28*INDEX(Act_Type_Repex_Splits,MATCH($I28,Act_Type_Repex,0),MATCH(BO$5,Mat_Type,0))*INDEX(Escalators!$I$44:$U$49,MATCH(BO$5,Escalators!$C$44:$C$49,0),MATCH(BO$6,Escalators!$I$43:$U$43,0)))</f>
        <v>0</v>
      </c>
      <c r="BP28" s="47">
        <f>IF($R28="",0,$N28*$AD28*INDEX(Act_Type_Repex_Splits,MATCH($I28,Act_Type_Repex,0),MATCH(BP$5,Mat_Type,0))*INDEX(Escalators!$I$44:$U$49,MATCH(BP$5,Escalators!$C$44:$C$49,0),MATCH(BP$6,Escalators!$I$43:$U$43,0)))</f>
        <v>0</v>
      </c>
      <c r="BQ28" s="47">
        <f>IF($R28="",0,$N28*$AD28*INDEX(Act_Type_Repex_Splits,MATCH($I28,Act_Type_Repex,0),MATCH(BQ$5,Mat_Type,0))*INDEX(Escalators!$I$44:$U$49,MATCH(BQ$5,Escalators!$C$44:$C$49,0),MATCH(BQ$6,Escalators!$I$43:$U$43,0)))</f>
        <v>0</v>
      </c>
      <c r="BR28" s="47">
        <f>IF($R28="",0,$N28*$AD28*INDEX(Act_Type_Repex_Splits,MATCH($I28,Act_Type_Repex,0),MATCH(BR$5,Mat_Type,0))*INDEX(Escalators!$I$44:$U$49,MATCH(BR$5,Escalators!$C$44:$C$49,0),MATCH(BR$6,Escalators!$I$43:$U$43,0)))</f>
        <v>0</v>
      </c>
      <c r="BS28" s="47">
        <f>IF($R28="",0,$N28*$AD28*INDEX(Act_Type_Repex_Splits,MATCH($I28,Act_Type_Repex,0),MATCH(BS$5,Mat_Type,0))*INDEX(Escalators!$I$44:$U$49,MATCH(BS$5,Escalators!$C$44:$C$49,0),MATCH(BS$6,Escalators!$I$43:$U$43,0)))</f>
        <v>0</v>
      </c>
      <c r="BT28" s="47">
        <f t="shared" si="21"/>
        <v>0</v>
      </c>
      <c r="BU28" s="47">
        <f>IF($R28="",0,$O28*$AD28*INDEX(Act_Type_Repex_Splits,MATCH($I28,Act_Type_Repex,0),MATCH(BU$5,Mat_Type,0))*INDEX(Escalators!$I$44:$U$49,MATCH(BU$5,Escalators!$C$44:$C$49,0),MATCH(BU$6,Escalators!$I$43:$U$43,0)))</f>
        <v>0</v>
      </c>
      <c r="BV28" s="47">
        <f>IF($R28="",0,$O28*$AD28*INDEX(Act_Type_Repex_Splits,MATCH($I28,Act_Type_Repex,0),MATCH(BV$5,Mat_Type,0))*INDEX(Escalators!$I$44:$U$49,MATCH(BV$5,Escalators!$C$44:$C$49,0),MATCH(BV$6,Escalators!$I$43:$U$43,0)))</f>
        <v>0</v>
      </c>
      <c r="BW28" s="47">
        <f>IF($R28="",0,$O28*$AD28*INDEX(Act_Type_Repex_Splits,MATCH($I28,Act_Type_Repex,0),MATCH(BW$5,Mat_Type,0))*INDEX(Escalators!$I$44:$U$49,MATCH(BW$5,Escalators!$C$44:$C$49,0),MATCH(BW$6,Escalators!$I$43:$U$43,0)))</f>
        <v>0</v>
      </c>
      <c r="BX28" s="47">
        <f>IF($R28="",0,$O28*$AD28*INDEX(Act_Type_Repex_Splits,MATCH($I28,Act_Type_Repex,0),MATCH(BX$5,Mat_Type,0))*INDEX(Escalators!$I$44:$U$49,MATCH(BX$5,Escalators!$C$44:$C$49,0),MATCH(BX$6,Escalators!$I$43:$U$43,0)))</f>
        <v>0</v>
      </c>
      <c r="BY28" s="47">
        <f>IF($R28="",0,$O28*$AD28*INDEX(Act_Type_Repex_Splits,MATCH($I28,Act_Type_Repex,0),MATCH(BY$5,Mat_Type,0))*INDEX(Escalators!$I$44:$U$49,MATCH(BY$5,Escalators!$C$44:$C$49,0),MATCH(BY$6,Escalators!$I$43:$U$43,0)))</f>
        <v>0</v>
      </c>
      <c r="BZ28" s="47">
        <f t="shared" si="22"/>
        <v>0</v>
      </c>
      <c r="CA28" s="47">
        <f>IF($R28="",0,$P28*$AD28*INDEX(Act_Type_Repex_Splits,MATCH($I28,Act_Type_Repex,0),MATCH(CA$5,Mat_Type,0))*INDEX(Escalators!$I$44:$U$49,MATCH(CA$5,Escalators!$C$44:$C$49,0),MATCH(CA$6,Escalators!$I$43:$U$43,0)))</f>
        <v>0</v>
      </c>
      <c r="CB28" s="47">
        <f>IF($R28="",0,$P28*$AD28*INDEX(Act_Type_Repex_Splits,MATCH($I28,Act_Type_Repex,0),MATCH(CB$5,Mat_Type,0))*INDEX(Escalators!$I$44:$U$49,MATCH(CB$5,Escalators!$C$44:$C$49,0),MATCH(CB$6,Escalators!$I$43:$U$43,0)))</f>
        <v>0</v>
      </c>
      <c r="CC28" s="47">
        <f>IF($R28="",0,$P28*$AD28*INDEX(Act_Type_Repex_Splits,MATCH($I28,Act_Type_Repex,0),MATCH(CC$5,Mat_Type,0))*INDEX(Escalators!$I$44:$U$49,MATCH(CC$5,Escalators!$C$44:$C$49,0),MATCH(CC$6,Escalators!$I$43:$U$43,0)))</f>
        <v>0</v>
      </c>
      <c r="CD28" s="47">
        <f>IF($R28="",0,$P28*$AD28*INDEX(Act_Type_Repex_Splits,MATCH($I28,Act_Type_Repex,0),MATCH(CD$5,Mat_Type,0))*INDEX(Escalators!$I$44:$U$49,MATCH(CD$5,Escalators!$C$44:$C$49,0),MATCH(CD$6,Escalators!$I$43:$U$43,0)))</f>
        <v>0</v>
      </c>
      <c r="CE28" s="47">
        <f>IF($R28="",0,$P28*$AD28*INDEX(Act_Type_Repex_Splits,MATCH($I28,Act_Type_Repex,0),MATCH(CE$5,Mat_Type,0))*INDEX(Escalators!$I$44:$U$49,MATCH(CE$5,Escalators!$C$44:$C$49,0),MATCH(CE$6,Escalators!$I$43:$U$43,0)))</f>
        <v>0</v>
      </c>
      <c r="CF28" s="47">
        <f t="shared" si="23"/>
        <v>0</v>
      </c>
      <c r="CG28" s="47">
        <f>IF($R28="",0,$Q28*$AD28*INDEX(Act_Type_Repex_Splits,MATCH($I28,Act_Type_Repex,0),MATCH(CG$5,Mat_Type,0))*INDEX(Escalators!$I$44:$U$49,MATCH(CG$5,Escalators!$C$44:$C$49,0),MATCH(CG$6,Escalators!$I$43:$U$43,0)))</f>
        <v>0</v>
      </c>
      <c r="CH28" s="47">
        <f>IF($R28="",0,$Q28*$AD28*INDEX(Act_Type_Repex_Splits,MATCH($I28,Act_Type_Repex,0),MATCH(CH$5,Mat_Type,0))*INDEX(Escalators!$I$44:$U$49,MATCH(CH$5,Escalators!$C$44:$C$49,0),MATCH(CH$6,Escalators!$I$43:$U$43,0)))</f>
        <v>0</v>
      </c>
      <c r="CI28" s="47">
        <f>IF($R28="",0,$Q28*$AD28*INDEX(Act_Type_Repex_Splits,MATCH($I28,Act_Type_Repex,0),MATCH(CI$5,Mat_Type,0))*INDEX(Escalators!$I$44:$U$49,MATCH(CI$5,Escalators!$C$44:$C$49,0),MATCH(CI$6,Escalators!$I$43:$U$43,0)))</f>
        <v>0</v>
      </c>
      <c r="CJ28" s="47">
        <f>IF($R28="",0,$Q28*$AD28*INDEX(Act_Type_Repex_Splits,MATCH($I28,Act_Type_Repex,0),MATCH(CJ$5,Mat_Type,0))*INDEX(Escalators!$I$44:$U$49,MATCH(CJ$5,Escalators!$C$44:$C$49,0),MATCH(CJ$6,Escalators!$I$43:$U$43,0)))</f>
        <v>0</v>
      </c>
      <c r="CK28" s="47">
        <f>IF($R28="",0,$Q28*$AD28*INDEX(Act_Type_Repex_Splits,MATCH($I28,Act_Type_Repex,0),MATCH(CK$5,Mat_Type,0))*INDEX(Escalators!$I$44:$U$49,MATCH(CK$5,Escalators!$C$44:$C$49,0),MATCH(CK$6,Escalators!$I$43:$U$43,0)))</f>
        <v>0</v>
      </c>
      <c r="CL28" s="47">
        <f t="shared" si="24"/>
        <v>0</v>
      </c>
      <c r="CN28" s="47">
        <f>IF($R28="",0,J28*$AE28*HLOOKUP(CN$6,Escalators!$I$25:$U$30,6,FALSE))</f>
        <v>0</v>
      </c>
      <c r="CO28" s="47">
        <f>IF($R28="",0,K28*$AE28*HLOOKUP(CO$6,Escalators!$I$25:$U$30,6,FALSE))</f>
        <v>0</v>
      </c>
      <c r="CP28" s="47">
        <f>IF($R28="",0,L28*$AE28*HLOOKUP(CP$6,Escalators!$I$25:$U$30,6,FALSE))</f>
        <v>0</v>
      </c>
      <c r="CQ28" s="47">
        <f>IF($R28="",0,M28*$AE28*HLOOKUP(CQ$6,Escalators!$I$25:$U$30,6,FALSE))</f>
        <v>0</v>
      </c>
      <c r="CR28" s="47">
        <f>IF($R28="",0,N28*$AE28*HLOOKUP(CR$6,Escalators!$I$25:$U$30,6,FALSE))</f>
        <v>0</v>
      </c>
      <c r="CS28" s="47">
        <f>IF($R28="",0,O28*$AE28*HLOOKUP(CS$6,Escalators!$I$25:$U$30,6,FALSE))</f>
        <v>0</v>
      </c>
      <c r="CT28" s="47">
        <f>IF($R28="",0,P28*$AE28*HLOOKUP(CT$6,Escalators!$I$25:$U$30,6,FALSE))</f>
        <v>0</v>
      </c>
      <c r="CU28" s="47">
        <f>IF($R28="",0,Q28*$AE28*HLOOKUP(CU$6,Escalators!$I$25:$U$30,6,FALSE))</f>
        <v>0</v>
      </c>
      <c r="CW28" s="83">
        <f t="shared" si="25"/>
        <v>0</v>
      </c>
      <c r="CX28" s="83">
        <f t="shared" si="26"/>
        <v>0</v>
      </c>
      <c r="CY28" s="83">
        <f t="shared" si="27"/>
        <v>0</v>
      </c>
      <c r="CZ28" s="83">
        <f t="shared" si="28"/>
        <v>0</v>
      </c>
      <c r="DA28" s="83">
        <f t="shared" si="29"/>
        <v>0</v>
      </c>
      <c r="DB28" s="83">
        <f t="shared" si="30"/>
        <v>0</v>
      </c>
      <c r="DC28" s="83">
        <f t="shared" si="31"/>
        <v>0</v>
      </c>
      <c r="DD28" s="83">
        <f t="shared" si="32"/>
        <v>0</v>
      </c>
      <c r="DF28" s="47">
        <f t="shared" si="33"/>
        <v>0</v>
      </c>
      <c r="DG28" s="47">
        <f t="shared" si="34"/>
        <v>0</v>
      </c>
      <c r="DH28" s="47">
        <f t="shared" si="35"/>
        <v>0</v>
      </c>
      <c r="DI28" s="47">
        <f t="shared" si="36"/>
        <v>0</v>
      </c>
      <c r="DJ28" s="47">
        <f t="shared" si="37"/>
        <v>0</v>
      </c>
      <c r="DK28" s="47">
        <f t="shared" si="38"/>
        <v>0</v>
      </c>
      <c r="DL28" s="47">
        <f t="shared" si="39"/>
        <v>0</v>
      </c>
      <c r="DM28" s="47">
        <f t="shared" si="40"/>
        <v>0</v>
      </c>
      <c r="DO28" s="39"/>
    </row>
    <row r="29" spans="2:119" x14ac:dyDescent="0.3">
      <c r="B29" s="7"/>
      <c r="C29" s="7"/>
      <c r="D29" s="7"/>
      <c r="E29" s="7"/>
      <c r="F29" s="7"/>
      <c r="G29" s="7"/>
      <c r="H29" s="7"/>
      <c r="I29" s="7"/>
      <c r="J29" s="7"/>
      <c r="K29" s="7"/>
      <c r="L29" s="7"/>
      <c r="M29" s="7"/>
      <c r="N29" s="7"/>
      <c r="O29" s="7"/>
      <c r="P29" s="7"/>
      <c r="Q29" s="7"/>
      <c r="R29" s="46"/>
      <c r="T29" s="47">
        <f t="shared" si="8"/>
        <v>0</v>
      </c>
      <c r="U29" s="47">
        <f t="shared" si="9"/>
        <v>0</v>
      </c>
      <c r="V29" s="47">
        <f t="shared" si="10"/>
        <v>0</v>
      </c>
      <c r="W29" s="47">
        <f t="shared" si="11"/>
        <v>0</v>
      </c>
      <c r="X29" s="47">
        <f t="shared" si="12"/>
        <v>0</v>
      </c>
      <c r="Y29" s="47">
        <f t="shared" si="13"/>
        <v>0</v>
      </c>
      <c r="Z29" s="47">
        <f t="shared" si="14"/>
        <v>0</v>
      </c>
      <c r="AA29" s="47">
        <f t="shared" si="15"/>
        <v>0</v>
      </c>
      <c r="AC29" s="83">
        <f t="shared" si="16"/>
        <v>0</v>
      </c>
      <c r="AD29" s="83">
        <f t="shared" si="16"/>
        <v>0</v>
      </c>
      <c r="AE29" s="83">
        <f t="shared" si="16"/>
        <v>0</v>
      </c>
      <c r="AF29" s="83">
        <f t="shared" si="16"/>
        <v>0</v>
      </c>
      <c r="AH29" s="47">
        <f>IF($R29="",0,J29*$AC29*HLOOKUP(AH$6,Escalators!$I$25:$U$30,3,FALSE))</f>
        <v>0</v>
      </c>
      <c r="AI29" s="47">
        <f>IF($R29="",0,K29*$AC29*HLOOKUP(AI$6,Escalators!$I$25:$U$30,3,FALSE))</f>
        <v>0</v>
      </c>
      <c r="AJ29" s="47">
        <f>IF($R29="",0,L29*$AC29*HLOOKUP(AJ$6,Escalators!$I$25:$U$30,3,FALSE))</f>
        <v>0</v>
      </c>
      <c r="AK29" s="47">
        <f>IF($R29="",0,M29*$AC29*HLOOKUP(AK$6,Escalators!$I$25:$U$30,3,FALSE))</f>
        <v>0</v>
      </c>
      <c r="AL29" s="47">
        <f>IF($R29="",0,N29*$AC29*HLOOKUP(AL$6,Escalators!$I$25:$U$30,3,FALSE))</f>
        <v>0</v>
      </c>
      <c r="AM29" s="47">
        <f>IF($R29="",0,O29*$AC29*HLOOKUP(AM$6,Escalators!$I$25:$U$30,3,FALSE))</f>
        <v>0</v>
      </c>
      <c r="AN29" s="47">
        <f>IF($R29="",0,P29*$AC29*HLOOKUP(AN$6,Escalators!$I$25:$U$30,3,FALSE))</f>
        <v>0</v>
      </c>
      <c r="AO29" s="47">
        <f>IF($R29="",0,Q29*$AC29*HLOOKUP(AO$6,Escalators!$I$25:$U$30,3,FALSE))</f>
        <v>0</v>
      </c>
      <c r="AQ29" s="6">
        <f>IF($R29="",0,$J29*$AD29*INDEX(Act_Type_Repex_Splits,MATCH($I29,Act_Type_Repex,0),MATCH(AQ$5,Mat_Type,0))*INDEX(Escalators!$I$44:$U$49,MATCH(AQ$5,Escalators!$C$44:$C$49,0),MATCH(AQ$6,Escalators!$I$43:$U$43,0)))</f>
        <v>0</v>
      </c>
      <c r="AR29" s="6">
        <f>IF($R29="",0,$J29*$AD29*INDEX(Act_Type_Repex_Splits,MATCH($I29,Act_Type_Repex,0),MATCH(AR$5,Mat_Type,0))*INDEX(Escalators!$I$44:$U$49,MATCH(AR$5,Escalators!$C$44:$C$49,0),MATCH(AR$6,Escalators!$I$43:$U$43,0)))</f>
        <v>0</v>
      </c>
      <c r="AS29" s="6">
        <f>IF($R29="",0,$J29*$AD29*INDEX(Act_Type_Repex_Splits,MATCH($I29,Act_Type_Repex,0),MATCH(AS$5,Mat_Type,0))*INDEX(Escalators!$I$44:$U$49,MATCH(AS$5,Escalators!$C$44:$C$49,0),MATCH(AS$6,Escalators!$I$43:$U$43,0)))</f>
        <v>0</v>
      </c>
      <c r="AT29" s="6">
        <f>IF($R29="",0,$J29*$AD29*INDEX(Act_Type_Repex_Splits,MATCH($I29,Act_Type_Repex,0),MATCH(AT$5,Mat_Type,0))*INDEX(Escalators!$I$44:$U$49,MATCH(AT$5,Escalators!$C$44:$C$49,0),MATCH(AT$6,Escalators!$I$43:$U$43,0)))</f>
        <v>0</v>
      </c>
      <c r="AU29" s="6">
        <f>IF($R29="",0,$J29*$AD29*INDEX(Act_Type_Repex_Splits,MATCH($I29,Act_Type_Repex,0),MATCH(AU$5,Mat_Type,0))*INDEX(Escalators!$I$44:$U$49,MATCH(AU$5,Escalators!$C$44:$C$49,0),MATCH(AU$6,Escalators!$I$43:$U$43,0)))</f>
        <v>0</v>
      </c>
      <c r="AV29" s="47">
        <f t="shared" si="17"/>
        <v>0</v>
      </c>
      <c r="AW29" s="47">
        <f>IF($R29="",0,$K29*$AD29*INDEX(Act_Type_Repex_Splits,MATCH($I29,Act_Type_Repex,0),MATCH(AW$5,Mat_Type,0))*INDEX(Escalators!$I$44:$U$49,MATCH(AW$5,Escalators!$C$44:$C$49,0),MATCH(AW$6,Escalators!$I$43:$U$43,0)))</f>
        <v>0</v>
      </c>
      <c r="AX29" s="47">
        <f>IF($R29="",0,$K29*$AD29*INDEX(Act_Type_Repex_Splits,MATCH($I29,Act_Type_Repex,0),MATCH(AX$5,Mat_Type,0))*INDEX(Escalators!$I$44:$U$49,MATCH(AX$5,Escalators!$C$44:$C$49,0),MATCH(AX$6,Escalators!$I$43:$U$43,0)))</f>
        <v>0</v>
      </c>
      <c r="AY29" s="47">
        <f>IF($R29="",0,$K29*$AD29*INDEX(Act_Type_Repex_Splits,MATCH($I29,Act_Type_Repex,0),MATCH(AY$5,Mat_Type,0))*INDEX(Escalators!$I$44:$U$49,MATCH(AY$5,Escalators!$C$44:$C$49,0),MATCH(AY$6,Escalators!$I$43:$U$43,0)))</f>
        <v>0</v>
      </c>
      <c r="AZ29" s="47">
        <f>IF($R29="",0,$K29*$AD29*INDEX(Act_Type_Repex_Splits,MATCH($I29,Act_Type_Repex,0),MATCH(AZ$5,Mat_Type,0))*INDEX(Escalators!$I$44:$U$49,MATCH(AZ$5,Escalators!$C$44:$C$49,0),MATCH(AZ$6,Escalators!$I$43:$U$43,0)))</f>
        <v>0</v>
      </c>
      <c r="BA29" s="47">
        <f>IF($R29="",0,$K29*$AD29*INDEX(Act_Type_Repex_Splits,MATCH($I29,Act_Type_Repex,0),MATCH(BA$5,Mat_Type,0))*INDEX(Escalators!$I$44:$U$49,MATCH(BA$5,Escalators!$C$44:$C$49,0),MATCH(BA$6,Escalators!$I$43:$U$43,0)))</f>
        <v>0</v>
      </c>
      <c r="BB29" s="47">
        <f t="shared" si="18"/>
        <v>0</v>
      </c>
      <c r="BC29" s="47">
        <f>IF($R29="",0,$L29*$AD29*INDEX(Act_Type_Repex_Splits,MATCH($I29,Act_Type_Repex,0),MATCH(BC$5,Mat_Type,0))*INDEX(Escalators!$I$44:$U$49,MATCH(BC$5,Escalators!$C$44:$C$49,0),MATCH(BC$6,Escalators!$I$43:$U$43,0)))</f>
        <v>0</v>
      </c>
      <c r="BD29" s="47">
        <f>IF($R29="",0,$L29*$AD29*INDEX(Act_Type_Repex_Splits,MATCH($I29,Act_Type_Repex,0),MATCH(BD$5,Mat_Type,0))*INDEX(Escalators!$I$44:$U$49,MATCH(BD$5,Escalators!$C$44:$C$49,0),MATCH(BD$6,Escalators!$I$43:$U$43,0)))</f>
        <v>0</v>
      </c>
      <c r="BE29" s="47">
        <f>IF($R29="",0,$L29*$AD29*INDEX(Act_Type_Repex_Splits,MATCH($I29,Act_Type_Repex,0),MATCH(BE$5,Mat_Type,0))*INDEX(Escalators!$I$44:$U$49,MATCH(BE$5,Escalators!$C$44:$C$49,0),MATCH(BE$6,Escalators!$I$43:$U$43,0)))</f>
        <v>0</v>
      </c>
      <c r="BF29" s="47">
        <f>IF($R29="",0,$L29*$AD29*INDEX(Act_Type_Repex_Splits,MATCH($I29,Act_Type_Repex,0),MATCH(BF$5,Mat_Type,0))*INDEX(Escalators!$I$44:$U$49,MATCH(BF$5,Escalators!$C$44:$C$49,0),MATCH(BF$6,Escalators!$I$43:$U$43,0)))</f>
        <v>0</v>
      </c>
      <c r="BG29" s="47">
        <f>IF($R29="",0,$L29*$AD29*INDEX(Act_Type_Repex_Splits,MATCH($I29,Act_Type_Repex,0),MATCH(BG$5,Mat_Type,0))*INDEX(Escalators!$I$44:$U$49,MATCH(BG$5,Escalators!$C$44:$C$49,0),MATCH(BG$6,Escalators!$I$43:$U$43,0)))</f>
        <v>0</v>
      </c>
      <c r="BH29" s="47">
        <f t="shared" si="19"/>
        <v>0</v>
      </c>
      <c r="BI29" s="47">
        <f>IF($R29="",0,$M29*$AD29*INDEX(Act_Type_Repex_Splits,MATCH($I29,Act_Type_Repex,0),MATCH(BI$5,Mat_Type,0))*INDEX(Escalators!$I$44:$U$49,MATCH(BI$5,Escalators!$C$44:$C$49,0),MATCH(BI$6,Escalators!$I$43:$U$43,0)))</f>
        <v>0</v>
      </c>
      <c r="BJ29" s="47">
        <f>IF($R29="",0,$M29*$AD29*INDEX(Act_Type_Repex_Splits,MATCH($I29,Act_Type_Repex,0),MATCH(BJ$5,Mat_Type,0))*INDEX(Escalators!$I$44:$U$49,MATCH(BJ$5,Escalators!$C$44:$C$49,0),MATCH(BJ$6,Escalators!$I$43:$U$43,0)))</f>
        <v>0</v>
      </c>
      <c r="BK29" s="47">
        <f>IF($R29="",0,$M29*$AD29*INDEX(Act_Type_Repex_Splits,MATCH($I29,Act_Type_Repex,0),MATCH(BK$5,Mat_Type,0))*INDEX(Escalators!$I$44:$U$49,MATCH(BK$5,Escalators!$C$44:$C$49,0),MATCH(BK$6,Escalators!$I$43:$U$43,0)))</f>
        <v>0</v>
      </c>
      <c r="BL29" s="47">
        <f>IF($R29="",0,$M29*$AD29*INDEX(Act_Type_Repex_Splits,MATCH($I29,Act_Type_Repex,0),MATCH(BL$5,Mat_Type,0))*INDEX(Escalators!$I$44:$U$49,MATCH(BL$5,Escalators!$C$44:$C$49,0),MATCH(BL$6,Escalators!$I$43:$U$43,0)))</f>
        <v>0</v>
      </c>
      <c r="BM29" s="47">
        <f>IF($R29="",0,$M29*$AD29*INDEX(Act_Type_Repex_Splits,MATCH($I29,Act_Type_Repex,0),MATCH(BM$5,Mat_Type,0))*INDEX(Escalators!$I$44:$U$49,MATCH(BM$5,Escalators!$C$44:$C$49,0),MATCH(BM$6,Escalators!$I$43:$U$43,0)))</f>
        <v>0</v>
      </c>
      <c r="BN29" s="47">
        <f t="shared" si="20"/>
        <v>0</v>
      </c>
      <c r="BO29" s="47">
        <f>IF($R29="",0,$N29*$AD29*INDEX(Act_Type_Repex_Splits,MATCH($I29,Act_Type_Repex,0),MATCH(BO$5,Mat_Type,0))*INDEX(Escalators!$I$44:$U$49,MATCH(BO$5,Escalators!$C$44:$C$49,0),MATCH(BO$6,Escalators!$I$43:$U$43,0)))</f>
        <v>0</v>
      </c>
      <c r="BP29" s="47">
        <f>IF($R29="",0,$N29*$AD29*INDEX(Act_Type_Repex_Splits,MATCH($I29,Act_Type_Repex,0),MATCH(BP$5,Mat_Type,0))*INDEX(Escalators!$I$44:$U$49,MATCH(BP$5,Escalators!$C$44:$C$49,0),MATCH(BP$6,Escalators!$I$43:$U$43,0)))</f>
        <v>0</v>
      </c>
      <c r="BQ29" s="47">
        <f>IF($R29="",0,$N29*$AD29*INDEX(Act_Type_Repex_Splits,MATCH($I29,Act_Type_Repex,0),MATCH(BQ$5,Mat_Type,0))*INDEX(Escalators!$I$44:$U$49,MATCH(BQ$5,Escalators!$C$44:$C$49,0),MATCH(BQ$6,Escalators!$I$43:$U$43,0)))</f>
        <v>0</v>
      </c>
      <c r="BR29" s="47">
        <f>IF($R29="",0,$N29*$AD29*INDEX(Act_Type_Repex_Splits,MATCH($I29,Act_Type_Repex,0),MATCH(BR$5,Mat_Type,0))*INDEX(Escalators!$I$44:$U$49,MATCH(BR$5,Escalators!$C$44:$C$49,0),MATCH(BR$6,Escalators!$I$43:$U$43,0)))</f>
        <v>0</v>
      </c>
      <c r="BS29" s="47">
        <f>IF($R29="",0,$N29*$AD29*INDEX(Act_Type_Repex_Splits,MATCH($I29,Act_Type_Repex,0),MATCH(BS$5,Mat_Type,0))*INDEX(Escalators!$I$44:$U$49,MATCH(BS$5,Escalators!$C$44:$C$49,0),MATCH(BS$6,Escalators!$I$43:$U$43,0)))</f>
        <v>0</v>
      </c>
      <c r="BT29" s="47">
        <f t="shared" si="21"/>
        <v>0</v>
      </c>
      <c r="BU29" s="47">
        <f>IF($R29="",0,$O29*$AD29*INDEX(Act_Type_Repex_Splits,MATCH($I29,Act_Type_Repex,0),MATCH(BU$5,Mat_Type,0))*INDEX(Escalators!$I$44:$U$49,MATCH(BU$5,Escalators!$C$44:$C$49,0),MATCH(BU$6,Escalators!$I$43:$U$43,0)))</f>
        <v>0</v>
      </c>
      <c r="BV29" s="47">
        <f>IF($R29="",0,$O29*$AD29*INDEX(Act_Type_Repex_Splits,MATCH($I29,Act_Type_Repex,0),MATCH(BV$5,Mat_Type,0))*INDEX(Escalators!$I$44:$U$49,MATCH(BV$5,Escalators!$C$44:$C$49,0),MATCH(BV$6,Escalators!$I$43:$U$43,0)))</f>
        <v>0</v>
      </c>
      <c r="BW29" s="47">
        <f>IF($R29="",0,$O29*$AD29*INDEX(Act_Type_Repex_Splits,MATCH($I29,Act_Type_Repex,0),MATCH(BW$5,Mat_Type,0))*INDEX(Escalators!$I$44:$U$49,MATCH(BW$5,Escalators!$C$44:$C$49,0),MATCH(BW$6,Escalators!$I$43:$U$43,0)))</f>
        <v>0</v>
      </c>
      <c r="BX29" s="47">
        <f>IF($R29="",0,$O29*$AD29*INDEX(Act_Type_Repex_Splits,MATCH($I29,Act_Type_Repex,0),MATCH(BX$5,Mat_Type,0))*INDEX(Escalators!$I$44:$U$49,MATCH(BX$5,Escalators!$C$44:$C$49,0),MATCH(BX$6,Escalators!$I$43:$U$43,0)))</f>
        <v>0</v>
      </c>
      <c r="BY29" s="47">
        <f>IF($R29="",0,$O29*$AD29*INDEX(Act_Type_Repex_Splits,MATCH($I29,Act_Type_Repex,0),MATCH(BY$5,Mat_Type,0))*INDEX(Escalators!$I$44:$U$49,MATCH(BY$5,Escalators!$C$44:$C$49,0),MATCH(BY$6,Escalators!$I$43:$U$43,0)))</f>
        <v>0</v>
      </c>
      <c r="BZ29" s="47">
        <f t="shared" si="22"/>
        <v>0</v>
      </c>
      <c r="CA29" s="47">
        <f>IF($R29="",0,$P29*$AD29*INDEX(Act_Type_Repex_Splits,MATCH($I29,Act_Type_Repex,0),MATCH(CA$5,Mat_Type,0))*INDEX(Escalators!$I$44:$U$49,MATCH(CA$5,Escalators!$C$44:$C$49,0),MATCH(CA$6,Escalators!$I$43:$U$43,0)))</f>
        <v>0</v>
      </c>
      <c r="CB29" s="47">
        <f>IF($R29="",0,$P29*$AD29*INDEX(Act_Type_Repex_Splits,MATCH($I29,Act_Type_Repex,0),MATCH(CB$5,Mat_Type,0))*INDEX(Escalators!$I$44:$U$49,MATCH(CB$5,Escalators!$C$44:$C$49,0),MATCH(CB$6,Escalators!$I$43:$U$43,0)))</f>
        <v>0</v>
      </c>
      <c r="CC29" s="47">
        <f>IF($R29="",0,$P29*$AD29*INDEX(Act_Type_Repex_Splits,MATCH($I29,Act_Type_Repex,0),MATCH(CC$5,Mat_Type,0))*INDEX(Escalators!$I$44:$U$49,MATCH(CC$5,Escalators!$C$44:$C$49,0),MATCH(CC$6,Escalators!$I$43:$U$43,0)))</f>
        <v>0</v>
      </c>
      <c r="CD29" s="47">
        <f>IF($R29="",0,$P29*$AD29*INDEX(Act_Type_Repex_Splits,MATCH($I29,Act_Type_Repex,0),MATCH(CD$5,Mat_Type,0))*INDEX(Escalators!$I$44:$U$49,MATCH(CD$5,Escalators!$C$44:$C$49,0),MATCH(CD$6,Escalators!$I$43:$U$43,0)))</f>
        <v>0</v>
      </c>
      <c r="CE29" s="47">
        <f>IF($R29="",0,$P29*$AD29*INDEX(Act_Type_Repex_Splits,MATCH($I29,Act_Type_Repex,0),MATCH(CE$5,Mat_Type,0))*INDEX(Escalators!$I$44:$U$49,MATCH(CE$5,Escalators!$C$44:$C$49,0),MATCH(CE$6,Escalators!$I$43:$U$43,0)))</f>
        <v>0</v>
      </c>
      <c r="CF29" s="47">
        <f t="shared" si="23"/>
        <v>0</v>
      </c>
      <c r="CG29" s="47">
        <f>IF($R29="",0,$Q29*$AD29*INDEX(Act_Type_Repex_Splits,MATCH($I29,Act_Type_Repex,0),MATCH(CG$5,Mat_Type,0))*INDEX(Escalators!$I$44:$U$49,MATCH(CG$5,Escalators!$C$44:$C$49,0),MATCH(CG$6,Escalators!$I$43:$U$43,0)))</f>
        <v>0</v>
      </c>
      <c r="CH29" s="47">
        <f>IF($R29="",0,$Q29*$AD29*INDEX(Act_Type_Repex_Splits,MATCH($I29,Act_Type_Repex,0),MATCH(CH$5,Mat_Type,0))*INDEX(Escalators!$I$44:$U$49,MATCH(CH$5,Escalators!$C$44:$C$49,0),MATCH(CH$6,Escalators!$I$43:$U$43,0)))</f>
        <v>0</v>
      </c>
      <c r="CI29" s="47">
        <f>IF($R29="",0,$Q29*$AD29*INDEX(Act_Type_Repex_Splits,MATCH($I29,Act_Type_Repex,0),MATCH(CI$5,Mat_Type,0))*INDEX(Escalators!$I$44:$U$49,MATCH(CI$5,Escalators!$C$44:$C$49,0),MATCH(CI$6,Escalators!$I$43:$U$43,0)))</f>
        <v>0</v>
      </c>
      <c r="CJ29" s="47">
        <f>IF($R29="",0,$Q29*$AD29*INDEX(Act_Type_Repex_Splits,MATCH($I29,Act_Type_Repex,0),MATCH(CJ$5,Mat_Type,0))*INDEX(Escalators!$I$44:$U$49,MATCH(CJ$5,Escalators!$C$44:$C$49,0),MATCH(CJ$6,Escalators!$I$43:$U$43,0)))</f>
        <v>0</v>
      </c>
      <c r="CK29" s="47">
        <f>IF($R29="",0,$Q29*$AD29*INDEX(Act_Type_Repex_Splits,MATCH($I29,Act_Type_Repex,0),MATCH(CK$5,Mat_Type,0))*INDEX(Escalators!$I$44:$U$49,MATCH(CK$5,Escalators!$C$44:$C$49,0),MATCH(CK$6,Escalators!$I$43:$U$43,0)))</f>
        <v>0</v>
      </c>
      <c r="CL29" s="47">
        <f t="shared" si="24"/>
        <v>0</v>
      </c>
      <c r="CN29" s="47">
        <f>IF($R29="",0,J29*$AE29*HLOOKUP(CN$6,Escalators!$I$25:$U$30,6,FALSE))</f>
        <v>0</v>
      </c>
      <c r="CO29" s="47">
        <f>IF($R29="",0,K29*$AE29*HLOOKUP(CO$6,Escalators!$I$25:$U$30,6,FALSE))</f>
        <v>0</v>
      </c>
      <c r="CP29" s="47">
        <f>IF($R29="",0,L29*$AE29*HLOOKUP(CP$6,Escalators!$I$25:$U$30,6,FALSE))</f>
        <v>0</v>
      </c>
      <c r="CQ29" s="47">
        <f>IF($R29="",0,M29*$AE29*HLOOKUP(CQ$6,Escalators!$I$25:$U$30,6,FALSE))</f>
        <v>0</v>
      </c>
      <c r="CR29" s="47">
        <f>IF($R29="",0,N29*$AE29*HLOOKUP(CR$6,Escalators!$I$25:$U$30,6,FALSE))</f>
        <v>0</v>
      </c>
      <c r="CS29" s="47">
        <f>IF($R29="",0,O29*$AE29*HLOOKUP(CS$6,Escalators!$I$25:$U$30,6,FALSE))</f>
        <v>0</v>
      </c>
      <c r="CT29" s="47">
        <f>IF($R29="",0,P29*$AE29*HLOOKUP(CT$6,Escalators!$I$25:$U$30,6,FALSE))</f>
        <v>0</v>
      </c>
      <c r="CU29" s="47">
        <f>IF($R29="",0,Q29*$AE29*HLOOKUP(CU$6,Escalators!$I$25:$U$30,6,FALSE))</f>
        <v>0</v>
      </c>
      <c r="CW29" s="83">
        <f t="shared" si="25"/>
        <v>0</v>
      </c>
      <c r="CX29" s="83">
        <f t="shared" si="26"/>
        <v>0</v>
      </c>
      <c r="CY29" s="83">
        <f t="shared" si="27"/>
        <v>0</v>
      </c>
      <c r="CZ29" s="83">
        <f t="shared" si="28"/>
        <v>0</v>
      </c>
      <c r="DA29" s="83">
        <f t="shared" si="29"/>
        <v>0</v>
      </c>
      <c r="DB29" s="83">
        <f t="shared" si="30"/>
        <v>0</v>
      </c>
      <c r="DC29" s="83">
        <f t="shared" si="31"/>
        <v>0</v>
      </c>
      <c r="DD29" s="83">
        <f t="shared" si="32"/>
        <v>0</v>
      </c>
      <c r="DF29" s="47">
        <f t="shared" si="33"/>
        <v>0</v>
      </c>
      <c r="DG29" s="47">
        <f t="shared" si="34"/>
        <v>0</v>
      </c>
      <c r="DH29" s="47">
        <f t="shared" si="35"/>
        <v>0</v>
      </c>
      <c r="DI29" s="47">
        <f t="shared" si="36"/>
        <v>0</v>
      </c>
      <c r="DJ29" s="47">
        <f t="shared" si="37"/>
        <v>0</v>
      </c>
      <c r="DK29" s="47">
        <f t="shared" si="38"/>
        <v>0</v>
      </c>
      <c r="DL29" s="47">
        <f t="shared" si="39"/>
        <v>0</v>
      </c>
      <c r="DM29" s="47">
        <f t="shared" si="40"/>
        <v>0</v>
      </c>
      <c r="DO29" s="39"/>
    </row>
    <row r="30" spans="2:119" x14ac:dyDescent="0.3">
      <c r="B30" s="7"/>
      <c r="C30" s="7"/>
      <c r="D30" s="7"/>
      <c r="E30" s="7"/>
      <c r="F30" s="7"/>
      <c r="G30" s="7"/>
      <c r="H30" s="7"/>
      <c r="I30" s="7"/>
      <c r="J30" s="7"/>
      <c r="K30" s="7"/>
      <c r="L30" s="7"/>
      <c r="M30" s="7"/>
      <c r="N30" s="7"/>
      <c r="O30" s="7"/>
      <c r="P30" s="7"/>
      <c r="Q30" s="7"/>
      <c r="R30" s="46"/>
      <c r="T30" s="47">
        <f t="shared" si="8"/>
        <v>0</v>
      </c>
      <c r="U30" s="47">
        <f t="shared" si="9"/>
        <v>0</v>
      </c>
      <c r="V30" s="47">
        <f t="shared" si="10"/>
        <v>0</v>
      </c>
      <c r="W30" s="47">
        <f t="shared" si="11"/>
        <v>0</v>
      </c>
      <c r="X30" s="47">
        <f t="shared" si="12"/>
        <v>0</v>
      </c>
      <c r="Y30" s="47">
        <f t="shared" si="13"/>
        <v>0</v>
      </c>
      <c r="Z30" s="47">
        <f t="shared" si="14"/>
        <v>0</v>
      </c>
      <c r="AA30" s="47">
        <f t="shared" si="15"/>
        <v>0</v>
      </c>
      <c r="AC30" s="83">
        <f t="shared" si="16"/>
        <v>0</v>
      </c>
      <c r="AD30" s="83">
        <f t="shared" si="16"/>
        <v>0</v>
      </c>
      <c r="AE30" s="83">
        <f t="shared" si="16"/>
        <v>0</v>
      </c>
      <c r="AF30" s="83">
        <f t="shared" si="16"/>
        <v>0</v>
      </c>
      <c r="AH30" s="47">
        <f>IF($R30="",0,J30*$AC30*HLOOKUP(AH$6,Escalators!$I$25:$U$30,3,FALSE))</f>
        <v>0</v>
      </c>
      <c r="AI30" s="47">
        <f>IF($R30="",0,K30*$AC30*HLOOKUP(AI$6,Escalators!$I$25:$U$30,3,FALSE))</f>
        <v>0</v>
      </c>
      <c r="AJ30" s="47">
        <f>IF($R30="",0,L30*$AC30*HLOOKUP(AJ$6,Escalators!$I$25:$U$30,3,FALSE))</f>
        <v>0</v>
      </c>
      <c r="AK30" s="47">
        <f>IF($R30="",0,M30*$AC30*HLOOKUP(AK$6,Escalators!$I$25:$U$30,3,FALSE))</f>
        <v>0</v>
      </c>
      <c r="AL30" s="47">
        <f>IF($R30="",0,N30*$AC30*HLOOKUP(AL$6,Escalators!$I$25:$U$30,3,FALSE))</f>
        <v>0</v>
      </c>
      <c r="AM30" s="47">
        <f>IF($R30="",0,O30*$AC30*HLOOKUP(AM$6,Escalators!$I$25:$U$30,3,FALSE))</f>
        <v>0</v>
      </c>
      <c r="AN30" s="47">
        <f>IF($R30="",0,P30*$AC30*HLOOKUP(AN$6,Escalators!$I$25:$U$30,3,FALSE))</f>
        <v>0</v>
      </c>
      <c r="AO30" s="47">
        <f>IF($R30="",0,Q30*$AC30*HLOOKUP(AO$6,Escalators!$I$25:$U$30,3,FALSE))</f>
        <v>0</v>
      </c>
      <c r="AQ30" s="6">
        <f>IF($R30="",0,$J30*$AD30*INDEX(Act_Type_Repex_Splits,MATCH($I30,Act_Type_Repex,0),MATCH(AQ$5,Mat_Type,0))*INDEX(Escalators!$I$44:$U$49,MATCH(AQ$5,Escalators!$C$44:$C$49,0),MATCH(AQ$6,Escalators!$I$43:$U$43,0)))</f>
        <v>0</v>
      </c>
      <c r="AR30" s="6">
        <f>IF($R30="",0,$J30*$AD30*INDEX(Act_Type_Repex_Splits,MATCH($I30,Act_Type_Repex,0),MATCH(AR$5,Mat_Type,0))*INDEX(Escalators!$I$44:$U$49,MATCH(AR$5,Escalators!$C$44:$C$49,0),MATCH(AR$6,Escalators!$I$43:$U$43,0)))</f>
        <v>0</v>
      </c>
      <c r="AS30" s="6">
        <f>IF($R30="",0,$J30*$AD30*INDEX(Act_Type_Repex_Splits,MATCH($I30,Act_Type_Repex,0),MATCH(AS$5,Mat_Type,0))*INDEX(Escalators!$I$44:$U$49,MATCH(AS$5,Escalators!$C$44:$C$49,0),MATCH(AS$6,Escalators!$I$43:$U$43,0)))</f>
        <v>0</v>
      </c>
      <c r="AT30" s="6">
        <f>IF($R30="",0,$J30*$AD30*INDEX(Act_Type_Repex_Splits,MATCH($I30,Act_Type_Repex,0),MATCH(AT$5,Mat_Type,0))*INDEX(Escalators!$I$44:$U$49,MATCH(AT$5,Escalators!$C$44:$C$49,0),MATCH(AT$6,Escalators!$I$43:$U$43,0)))</f>
        <v>0</v>
      </c>
      <c r="AU30" s="6">
        <f>IF($R30="",0,$J30*$AD30*INDEX(Act_Type_Repex_Splits,MATCH($I30,Act_Type_Repex,0),MATCH(AU$5,Mat_Type,0))*INDEX(Escalators!$I$44:$U$49,MATCH(AU$5,Escalators!$C$44:$C$49,0),MATCH(AU$6,Escalators!$I$43:$U$43,0)))</f>
        <v>0</v>
      </c>
      <c r="AV30" s="47">
        <f t="shared" si="17"/>
        <v>0</v>
      </c>
      <c r="AW30" s="47">
        <f>IF($R30="",0,$K30*$AD30*INDEX(Act_Type_Repex_Splits,MATCH($I30,Act_Type_Repex,0),MATCH(AW$5,Mat_Type,0))*INDEX(Escalators!$I$44:$U$49,MATCH(AW$5,Escalators!$C$44:$C$49,0),MATCH(AW$6,Escalators!$I$43:$U$43,0)))</f>
        <v>0</v>
      </c>
      <c r="AX30" s="47">
        <f>IF($R30="",0,$K30*$AD30*INDEX(Act_Type_Repex_Splits,MATCH($I30,Act_Type_Repex,0),MATCH(AX$5,Mat_Type,0))*INDEX(Escalators!$I$44:$U$49,MATCH(AX$5,Escalators!$C$44:$C$49,0),MATCH(AX$6,Escalators!$I$43:$U$43,0)))</f>
        <v>0</v>
      </c>
      <c r="AY30" s="47">
        <f>IF($R30="",0,$K30*$AD30*INDEX(Act_Type_Repex_Splits,MATCH($I30,Act_Type_Repex,0),MATCH(AY$5,Mat_Type,0))*INDEX(Escalators!$I$44:$U$49,MATCH(AY$5,Escalators!$C$44:$C$49,0),MATCH(AY$6,Escalators!$I$43:$U$43,0)))</f>
        <v>0</v>
      </c>
      <c r="AZ30" s="47">
        <f>IF($R30="",0,$K30*$AD30*INDEX(Act_Type_Repex_Splits,MATCH($I30,Act_Type_Repex,0),MATCH(AZ$5,Mat_Type,0))*INDEX(Escalators!$I$44:$U$49,MATCH(AZ$5,Escalators!$C$44:$C$49,0),MATCH(AZ$6,Escalators!$I$43:$U$43,0)))</f>
        <v>0</v>
      </c>
      <c r="BA30" s="47">
        <f>IF($R30="",0,$K30*$AD30*INDEX(Act_Type_Repex_Splits,MATCH($I30,Act_Type_Repex,0),MATCH(BA$5,Mat_Type,0))*INDEX(Escalators!$I$44:$U$49,MATCH(BA$5,Escalators!$C$44:$C$49,0),MATCH(BA$6,Escalators!$I$43:$U$43,0)))</f>
        <v>0</v>
      </c>
      <c r="BB30" s="47">
        <f t="shared" si="18"/>
        <v>0</v>
      </c>
      <c r="BC30" s="47">
        <f>IF($R30="",0,$L30*$AD30*INDEX(Act_Type_Repex_Splits,MATCH($I30,Act_Type_Repex,0),MATCH(BC$5,Mat_Type,0))*INDEX(Escalators!$I$44:$U$49,MATCH(BC$5,Escalators!$C$44:$C$49,0),MATCH(BC$6,Escalators!$I$43:$U$43,0)))</f>
        <v>0</v>
      </c>
      <c r="BD30" s="47">
        <f>IF($R30="",0,$L30*$AD30*INDEX(Act_Type_Repex_Splits,MATCH($I30,Act_Type_Repex,0),MATCH(BD$5,Mat_Type,0))*INDEX(Escalators!$I$44:$U$49,MATCH(BD$5,Escalators!$C$44:$C$49,0),MATCH(BD$6,Escalators!$I$43:$U$43,0)))</f>
        <v>0</v>
      </c>
      <c r="BE30" s="47">
        <f>IF($R30="",0,$L30*$AD30*INDEX(Act_Type_Repex_Splits,MATCH($I30,Act_Type_Repex,0),MATCH(BE$5,Mat_Type,0))*INDEX(Escalators!$I$44:$U$49,MATCH(BE$5,Escalators!$C$44:$C$49,0),MATCH(BE$6,Escalators!$I$43:$U$43,0)))</f>
        <v>0</v>
      </c>
      <c r="BF30" s="47">
        <f>IF($R30="",0,$L30*$AD30*INDEX(Act_Type_Repex_Splits,MATCH($I30,Act_Type_Repex,0),MATCH(BF$5,Mat_Type,0))*INDEX(Escalators!$I$44:$U$49,MATCH(BF$5,Escalators!$C$44:$C$49,0),MATCH(BF$6,Escalators!$I$43:$U$43,0)))</f>
        <v>0</v>
      </c>
      <c r="BG30" s="47">
        <f>IF($R30="",0,$L30*$AD30*INDEX(Act_Type_Repex_Splits,MATCH($I30,Act_Type_Repex,0),MATCH(BG$5,Mat_Type,0))*INDEX(Escalators!$I$44:$U$49,MATCH(BG$5,Escalators!$C$44:$C$49,0),MATCH(BG$6,Escalators!$I$43:$U$43,0)))</f>
        <v>0</v>
      </c>
      <c r="BH30" s="47">
        <f t="shared" si="19"/>
        <v>0</v>
      </c>
      <c r="BI30" s="47">
        <f>IF($R30="",0,$M30*$AD30*INDEX(Act_Type_Repex_Splits,MATCH($I30,Act_Type_Repex,0),MATCH(BI$5,Mat_Type,0))*INDEX(Escalators!$I$44:$U$49,MATCH(BI$5,Escalators!$C$44:$C$49,0),MATCH(BI$6,Escalators!$I$43:$U$43,0)))</f>
        <v>0</v>
      </c>
      <c r="BJ30" s="47">
        <f>IF($R30="",0,$M30*$AD30*INDEX(Act_Type_Repex_Splits,MATCH($I30,Act_Type_Repex,0),MATCH(BJ$5,Mat_Type,0))*INDEX(Escalators!$I$44:$U$49,MATCH(BJ$5,Escalators!$C$44:$C$49,0),MATCH(BJ$6,Escalators!$I$43:$U$43,0)))</f>
        <v>0</v>
      </c>
      <c r="BK30" s="47">
        <f>IF($R30="",0,$M30*$AD30*INDEX(Act_Type_Repex_Splits,MATCH($I30,Act_Type_Repex,0),MATCH(BK$5,Mat_Type,0))*INDEX(Escalators!$I$44:$U$49,MATCH(BK$5,Escalators!$C$44:$C$49,0),MATCH(BK$6,Escalators!$I$43:$U$43,0)))</f>
        <v>0</v>
      </c>
      <c r="BL30" s="47">
        <f>IF($R30="",0,$M30*$AD30*INDEX(Act_Type_Repex_Splits,MATCH($I30,Act_Type_Repex,0),MATCH(BL$5,Mat_Type,0))*INDEX(Escalators!$I$44:$U$49,MATCH(BL$5,Escalators!$C$44:$C$49,0),MATCH(BL$6,Escalators!$I$43:$U$43,0)))</f>
        <v>0</v>
      </c>
      <c r="BM30" s="47">
        <f>IF($R30="",0,$M30*$AD30*INDEX(Act_Type_Repex_Splits,MATCH($I30,Act_Type_Repex,0),MATCH(BM$5,Mat_Type,0))*INDEX(Escalators!$I$44:$U$49,MATCH(BM$5,Escalators!$C$44:$C$49,0),MATCH(BM$6,Escalators!$I$43:$U$43,0)))</f>
        <v>0</v>
      </c>
      <c r="BN30" s="47">
        <f t="shared" si="20"/>
        <v>0</v>
      </c>
      <c r="BO30" s="47">
        <f>IF($R30="",0,$N30*$AD30*INDEX(Act_Type_Repex_Splits,MATCH($I30,Act_Type_Repex,0),MATCH(BO$5,Mat_Type,0))*INDEX(Escalators!$I$44:$U$49,MATCH(BO$5,Escalators!$C$44:$C$49,0),MATCH(BO$6,Escalators!$I$43:$U$43,0)))</f>
        <v>0</v>
      </c>
      <c r="BP30" s="47">
        <f>IF($R30="",0,$N30*$AD30*INDEX(Act_Type_Repex_Splits,MATCH($I30,Act_Type_Repex,0),MATCH(BP$5,Mat_Type,0))*INDEX(Escalators!$I$44:$U$49,MATCH(BP$5,Escalators!$C$44:$C$49,0),MATCH(BP$6,Escalators!$I$43:$U$43,0)))</f>
        <v>0</v>
      </c>
      <c r="BQ30" s="47">
        <f>IF($R30="",0,$N30*$AD30*INDEX(Act_Type_Repex_Splits,MATCH($I30,Act_Type_Repex,0),MATCH(BQ$5,Mat_Type,0))*INDEX(Escalators!$I$44:$U$49,MATCH(BQ$5,Escalators!$C$44:$C$49,0),MATCH(BQ$6,Escalators!$I$43:$U$43,0)))</f>
        <v>0</v>
      </c>
      <c r="BR30" s="47">
        <f>IF($R30="",0,$N30*$AD30*INDEX(Act_Type_Repex_Splits,MATCH($I30,Act_Type_Repex,0),MATCH(BR$5,Mat_Type,0))*INDEX(Escalators!$I$44:$U$49,MATCH(BR$5,Escalators!$C$44:$C$49,0),MATCH(BR$6,Escalators!$I$43:$U$43,0)))</f>
        <v>0</v>
      </c>
      <c r="BS30" s="47">
        <f>IF($R30="",0,$N30*$AD30*INDEX(Act_Type_Repex_Splits,MATCH($I30,Act_Type_Repex,0),MATCH(BS$5,Mat_Type,0))*INDEX(Escalators!$I$44:$U$49,MATCH(BS$5,Escalators!$C$44:$C$49,0),MATCH(BS$6,Escalators!$I$43:$U$43,0)))</f>
        <v>0</v>
      </c>
      <c r="BT30" s="47">
        <f t="shared" si="21"/>
        <v>0</v>
      </c>
      <c r="BU30" s="47">
        <f>IF($R30="",0,$O30*$AD30*INDEX(Act_Type_Repex_Splits,MATCH($I30,Act_Type_Repex,0),MATCH(BU$5,Mat_Type,0))*INDEX(Escalators!$I$44:$U$49,MATCH(BU$5,Escalators!$C$44:$C$49,0),MATCH(BU$6,Escalators!$I$43:$U$43,0)))</f>
        <v>0</v>
      </c>
      <c r="BV30" s="47">
        <f>IF($R30="",0,$O30*$AD30*INDEX(Act_Type_Repex_Splits,MATCH($I30,Act_Type_Repex,0),MATCH(BV$5,Mat_Type,0))*INDEX(Escalators!$I$44:$U$49,MATCH(BV$5,Escalators!$C$44:$C$49,0),MATCH(BV$6,Escalators!$I$43:$U$43,0)))</f>
        <v>0</v>
      </c>
      <c r="BW30" s="47">
        <f>IF($R30="",0,$O30*$AD30*INDEX(Act_Type_Repex_Splits,MATCH($I30,Act_Type_Repex,0),MATCH(BW$5,Mat_Type,0))*INDEX(Escalators!$I$44:$U$49,MATCH(BW$5,Escalators!$C$44:$C$49,0),MATCH(BW$6,Escalators!$I$43:$U$43,0)))</f>
        <v>0</v>
      </c>
      <c r="BX30" s="47">
        <f>IF($R30="",0,$O30*$AD30*INDEX(Act_Type_Repex_Splits,MATCH($I30,Act_Type_Repex,0),MATCH(BX$5,Mat_Type,0))*INDEX(Escalators!$I$44:$U$49,MATCH(BX$5,Escalators!$C$44:$C$49,0),MATCH(BX$6,Escalators!$I$43:$U$43,0)))</f>
        <v>0</v>
      </c>
      <c r="BY30" s="47">
        <f>IF($R30="",0,$O30*$AD30*INDEX(Act_Type_Repex_Splits,MATCH($I30,Act_Type_Repex,0),MATCH(BY$5,Mat_Type,0))*INDEX(Escalators!$I$44:$U$49,MATCH(BY$5,Escalators!$C$44:$C$49,0),MATCH(BY$6,Escalators!$I$43:$U$43,0)))</f>
        <v>0</v>
      </c>
      <c r="BZ30" s="47">
        <f t="shared" si="22"/>
        <v>0</v>
      </c>
      <c r="CA30" s="47">
        <f>IF($R30="",0,$P30*$AD30*INDEX(Act_Type_Repex_Splits,MATCH($I30,Act_Type_Repex,0),MATCH(CA$5,Mat_Type,0))*INDEX(Escalators!$I$44:$U$49,MATCH(CA$5,Escalators!$C$44:$C$49,0),MATCH(CA$6,Escalators!$I$43:$U$43,0)))</f>
        <v>0</v>
      </c>
      <c r="CB30" s="47">
        <f>IF($R30="",0,$P30*$AD30*INDEX(Act_Type_Repex_Splits,MATCH($I30,Act_Type_Repex,0),MATCH(CB$5,Mat_Type,0))*INDEX(Escalators!$I$44:$U$49,MATCH(CB$5,Escalators!$C$44:$C$49,0),MATCH(CB$6,Escalators!$I$43:$U$43,0)))</f>
        <v>0</v>
      </c>
      <c r="CC30" s="47">
        <f>IF($R30="",0,$P30*$AD30*INDEX(Act_Type_Repex_Splits,MATCH($I30,Act_Type_Repex,0),MATCH(CC$5,Mat_Type,0))*INDEX(Escalators!$I$44:$U$49,MATCH(CC$5,Escalators!$C$44:$C$49,0),MATCH(CC$6,Escalators!$I$43:$U$43,0)))</f>
        <v>0</v>
      </c>
      <c r="CD30" s="47">
        <f>IF($R30="",0,$P30*$AD30*INDEX(Act_Type_Repex_Splits,MATCH($I30,Act_Type_Repex,0),MATCH(CD$5,Mat_Type,0))*INDEX(Escalators!$I$44:$U$49,MATCH(CD$5,Escalators!$C$44:$C$49,0),MATCH(CD$6,Escalators!$I$43:$U$43,0)))</f>
        <v>0</v>
      </c>
      <c r="CE30" s="47">
        <f>IF($R30="",0,$P30*$AD30*INDEX(Act_Type_Repex_Splits,MATCH($I30,Act_Type_Repex,0),MATCH(CE$5,Mat_Type,0))*INDEX(Escalators!$I$44:$U$49,MATCH(CE$5,Escalators!$C$44:$C$49,0),MATCH(CE$6,Escalators!$I$43:$U$43,0)))</f>
        <v>0</v>
      </c>
      <c r="CF30" s="47">
        <f t="shared" si="23"/>
        <v>0</v>
      </c>
      <c r="CG30" s="47">
        <f>IF($R30="",0,$Q30*$AD30*INDEX(Act_Type_Repex_Splits,MATCH($I30,Act_Type_Repex,0),MATCH(CG$5,Mat_Type,0))*INDEX(Escalators!$I$44:$U$49,MATCH(CG$5,Escalators!$C$44:$C$49,0),MATCH(CG$6,Escalators!$I$43:$U$43,0)))</f>
        <v>0</v>
      </c>
      <c r="CH30" s="47">
        <f>IF($R30="",0,$Q30*$AD30*INDEX(Act_Type_Repex_Splits,MATCH($I30,Act_Type_Repex,0),MATCH(CH$5,Mat_Type,0))*INDEX(Escalators!$I$44:$U$49,MATCH(CH$5,Escalators!$C$44:$C$49,0),MATCH(CH$6,Escalators!$I$43:$U$43,0)))</f>
        <v>0</v>
      </c>
      <c r="CI30" s="47">
        <f>IF($R30="",0,$Q30*$AD30*INDEX(Act_Type_Repex_Splits,MATCH($I30,Act_Type_Repex,0),MATCH(CI$5,Mat_Type,0))*INDEX(Escalators!$I$44:$U$49,MATCH(CI$5,Escalators!$C$44:$C$49,0),MATCH(CI$6,Escalators!$I$43:$U$43,0)))</f>
        <v>0</v>
      </c>
      <c r="CJ30" s="47">
        <f>IF($R30="",0,$Q30*$AD30*INDEX(Act_Type_Repex_Splits,MATCH($I30,Act_Type_Repex,0),MATCH(CJ$5,Mat_Type,0))*INDEX(Escalators!$I$44:$U$49,MATCH(CJ$5,Escalators!$C$44:$C$49,0),MATCH(CJ$6,Escalators!$I$43:$U$43,0)))</f>
        <v>0</v>
      </c>
      <c r="CK30" s="47">
        <f>IF($R30="",0,$Q30*$AD30*INDEX(Act_Type_Repex_Splits,MATCH($I30,Act_Type_Repex,0),MATCH(CK$5,Mat_Type,0))*INDEX(Escalators!$I$44:$U$49,MATCH(CK$5,Escalators!$C$44:$C$49,0),MATCH(CK$6,Escalators!$I$43:$U$43,0)))</f>
        <v>0</v>
      </c>
      <c r="CL30" s="47">
        <f t="shared" si="24"/>
        <v>0</v>
      </c>
      <c r="CN30" s="47">
        <f>IF($R30="",0,J30*$AE30*HLOOKUP(CN$6,Escalators!$I$25:$U$30,6,FALSE))</f>
        <v>0</v>
      </c>
      <c r="CO30" s="47">
        <f>IF($R30="",0,K30*$AE30*HLOOKUP(CO$6,Escalators!$I$25:$U$30,6,FALSE))</f>
        <v>0</v>
      </c>
      <c r="CP30" s="47">
        <f>IF($R30="",0,L30*$AE30*HLOOKUP(CP$6,Escalators!$I$25:$U$30,6,FALSE))</f>
        <v>0</v>
      </c>
      <c r="CQ30" s="47">
        <f>IF($R30="",0,M30*$AE30*HLOOKUP(CQ$6,Escalators!$I$25:$U$30,6,FALSE))</f>
        <v>0</v>
      </c>
      <c r="CR30" s="47">
        <f>IF($R30="",0,N30*$AE30*HLOOKUP(CR$6,Escalators!$I$25:$U$30,6,FALSE))</f>
        <v>0</v>
      </c>
      <c r="CS30" s="47">
        <f>IF($R30="",0,O30*$AE30*HLOOKUP(CS$6,Escalators!$I$25:$U$30,6,FALSE))</f>
        <v>0</v>
      </c>
      <c r="CT30" s="47">
        <f>IF($R30="",0,P30*$AE30*HLOOKUP(CT$6,Escalators!$I$25:$U$30,6,FALSE))</f>
        <v>0</v>
      </c>
      <c r="CU30" s="47">
        <f>IF($R30="",0,Q30*$AE30*HLOOKUP(CU$6,Escalators!$I$25:$U$30,6,FALSE))</f>
        <v>0</v>
      </c>
      <c r="CW30" s="83">
        <f t="shared" si="25"/>
        <v>0</v>
      </c>
      <c r="CX30" s="83">
        <f t="shared" si="26"/>
        <v>0</v>
      </c>
      <c r="CY30" s="83">
        <f t="shared" si="27"/>
        <v>0</v>
      </c>
      <c r="CZ30" s="83">
        <f t="shared" si="28"/>
        <v>0</v>
      </c>
      <c r="DA30" s="83">
        <f t="shared" si="29"/>
        <v>0</v>
      </c>
      <c r="DB30" s="83">
        <f t="shared" si="30"/>
        <v>0</v>
      </c>
      <c r="DC30" s="83">
        <f t="shared" si="31"/>
        <v>0</v>
      </c>
      <c r="DD30" s="83">
        <f t="shared" si="32"/>
        <v>0</v>
      </c>
      <c r="DF30" s="47">
        <f t="shared" si="33"/>
        <v>0</v>
      </c>
      <c r="DG30" s="47">
        <f t="shared" si="34"/>
        <v>0</v>
      </c>
      <c r="DH30" s="47">
        <f t="shared" si="35"/>
        <v>0</v>
      </c>
      <c r="DI30" s="47">
        <f t="shared" si="36"/>
        <v>0</v>
      </c>
      <c r="DJ30" s="47">
        <f t="shared" si="37"/>
        <v>0</v>
      </c>
      <c r="DK30" s="47">
        <f t="shared" si="38"/>
        <v>0</v>
      </c>
      <c r="DL30" s="47">
        <f t="shared" si="39"/>
        <v>0</v>
      </c>
      <c r="DM30" s="47">
        <f t="shared" si="40"/>
        <v>0</v>
      </c>
      <c r="DO30" s="39"/>
    </row>
    <row r="31" spans="2:119" x14ac:dyDescent="0.3">
      <c r="B31" s="7"/>
      <c r="C31" s="7"/>
      <c r="D31" s="7"/>
      <c r="E31" s="7"/>
      <c r="F31" s="7"/>
      <c r="G31" s="7"/>
      <c r="H31" s="7"/>
      <c r="I31" s="7"/>
      <c r="J31" s="7"/>
      <c r="K31" s="7"/>
      <c r="L31" s="7"/>
      <c r="M31" s="7"/>
      <c r="N31" s="7"/>
      <c r="O31" s="7"/>
      <c r="P31" s="7"/>
      <c r="Q31" s="7"/>
      <c r="R31" s="46"/>
      <c r="T31" s="47">
        <f t="shared" si="8"/>
        <v>0</v>
      </c>
      <c r="U31" s="47">
        <f t="shared" si="9"/>
        <v>0</v>
      </c>
      <c r="V31" s="47">
        <f t="shared" si="10"/>
        <v>0</v>
      </c>
      <c r="W31" s="47">
        <f t="shared" si="11"/>
        <v>0</v>
      </c>
      <c r="X31" s="47">
        <f t="shared" si="12"/>
        <v>0</v>
      </c>
      <c r="Y31" s="47">
        <f t="shared" si="13"/>
        <v>0</v>
      </c>
      <c r="Z31" s="47">
        <f t="shared" si="14"/>
        <v>0</v>
      </c>
      <c r="AA31" s="47">
        <f t="shared" si="15"/>
        <v>0</v>
      </c>
      <c r="AC31" s="83">
        <f t="shared" si="16"/>
        <v>0</v>
      </c>
      <c r="AD31" s="83">
        <f t="shared" si="16"/>
        <v>0</v>
      </c>
      <c r="AE31" s="83">
        <f t="shared" si="16"/>
        <v>0</v>
      </c>
      <c r="AF31" s="83">
        <f t="shared" si="16"/>
        <v>0</v>
      </c>
      <c r="AH31" s="47">
        <f>IF($R31="",0,J31*$AC31*HLOOKUP(AH$6,Escalators!$I$25:$U$30,3,FALSE))</f>
        <v>0</v>
      </c>
      <c r="AI31" s="47">
        <f>IF($R31="",0,K31*$AC31*HLOOKUP(AI$6,Escalators!$I$25:$U$30,3,FALSE))</f>
        <v>0</v>
      </c>
      <c r="AJ31" s="47">
        <f>IF($R31="",0,L31*$AC31*HLOOKUP(AJ$6,Escalators!$I$25:$U$30,3,FALSE))</f>
        <v>0</v>
      </c>
      <c r="AK31" s="47">
        <f>IF($R31="",0,M31*$AC31*HLOOKUP(AK$6,Escalators!$I$25:$U$30,3,FALSE))</f>
        <v>0</v>
      </c>
      <c r="AL31" s="47">
        <f>IF($R31="",0,N31*$AC31*HLOOKUP(AL$6,Escalators!$I$25:$U$30,3,FALSE))</f>
        <v>0</v>
      </c>
      <c r="AM31" s="47">
        <f>IF($R31="",0,O31*$AC31*HLOOKUP(AM$6,Escalators!$I$25:$U$30,3,FALSE))</f>
        <v>0</v>
      </c>
      <c r="AN31" s="47">
        <f>IF($R31="",0,P31*$AC31*HLOOKUP(AN$6,Escalators!$I$25:$U$30,3,FALSE))</f>
        <v>0</v>
      </c>
      <c r="AO31" s="47">
        <f>IF($R31="",0,Q31*$AC31*HLOOKUP(AO$6,Escalators!$I$25:$U$30,3,FALSE))</f>
        <v>0</v>
      </c>
      <c r="AQ31" s="6">
        <f>IF($R31="",0,$J31*$AD31*INDEX(Act_Type_Repex_Splits,MATCH($I31,Act_Type_Repex,0),MATCH(AQ$5,Mat_Type,0))*INDEX(Escalators!$I$44:$U$49,MATCH(AQ$5,Escalators!$C$44:$C$49,0),MATCH(AQ$6,Escalators!$I$43:$U$43,0)))</f>
        <v>0</v>
      </c>
      <c r="AR31" s="6">
        <f>IF($R31="",0,$J31*$AD31*INDEX(Act_Type_Repex_Splits,MATCH($I31,Act_Type_Repex,0),MATCH(AR$5,Mat_Type,0))*INDEX(Escalators!$I$44:$U$49,MATCH(AR$5,Escalators!$C$44:$C$49,0),MATCH(AR$6,Escalators!$I$43:$U$43,0)))</f>
        <v>0</v>
      </c>
      <c r="AS31" s="6">
        <f>IF($R31="",0,$J31*$AD31*INDEX(Act_Type_Repex_Splits,MATCH($I31,Act_Type_Repex,0),MATCH(AS$5,Mat_Type,0))*INDEX(Escalators!$I$44:$U$49,MATCH(AS$5,Escalators!$C$44:$C$49,0),MATCH(AS$6,Escalators!$I$43:$U$43,0)))</f>
        <v>0</v>
      </c>
      <c r="AT31" s="6">
        <f>IF($R31="",0,$J31*$AD31*INDEX(Act_Type_Repex_Splits,MATCH($I31,Act_Type_Repex,0),MATCH(AT$5,Mat_Type,0))*INDEX(Escalators!$I$44:$U$49,MATCH(AT$5,Escalators!$C$44:$C$49,0),MATCH(AT$6,Escalators!$I$43:$U$43,0)))</f>
        <v>0</v>
      </c>
      <c r="AU31" s="6">
        <f>IF($R31="",0,$J31*$AD31*INDEX(Act_Type_Repex_Splits,MATCH($I31,Act_Type_Repex,0),MATCH(AU$5,Mat_Type,0))*INDEX(Escalators!$I$44:$U$49,MATCH(AU$5,Escalators!$C$44:$C$49,0),MATCH(AU$6,Escalators!$I$43:$U$43,0)))</f>
        <v>0</v>
      </c>
      <c r="AV31" s="47">
        <f t="shared" si="17"/>
        <v>0</v>
      </c>
      <c r="AW31" s="47">
        <f>IF($R31="",0,$K31*$AD31*INDEX(Act_Type_Repex_Splits,MATCH($I31,Act_Type_Repex,0),MATCH(AW$5,Mat_Type,0))*INDEX(Escalators!$I$44:$U$49,MATCH(AW$5,Escalators!$C$44:$C$49,0),MATCH(AW$6,Escalators!$I$43:$U$43,0)))</f>
        <v>0</v>
      </c>
      <c r="AX31" s="47">
        <f>IF($R31="",0,$K31*$AD31*INDEX(Act_Type_Repex_Splits,MATCH($I31,Act_Type_Repex,0),MATCH(AX$5,Mat_Type,0))*INDEX(Escalators!$I$44:$U$49,MATCH(AX$5,Escalators!$C$44:$C$49,0),MATCH(AX$6,Escalators!$I$43:$U$43,0)))</f>
        <v>0</v>
      </c>
      <c r="AY31" s="47">
        <f>IF($R31="",0,$K31*$AD31*INDEX(Act_Type_Repex_Splits,MATCH($I31,Act_Type_Repex,0),MATCH(AY$5,Mat_Type,0))*INDEX(Escalators!$I$44:$U$49,MATCH(AY$5,Escalators!$C$44:$C$49,0),MATCH(AY$6,Escalators!$I$43:$U$43,0)))</f>
        <v>0</v>
      </c>
      <c r="AZ31" s="47">
        <f>IF($R31="",0,$K31*$AD31*INDEX(Act_Type_Repex_Splits,MATCH($I31,Act_Type_Repex,0),MATCH(AZ$5,Mat_Type,0))*INDEX(Escalators!$I$44:$U$49,MATCH(AZ$5,Escalators!$C$44:$C$49,0),MATCH(AZ$6,Escalators!$I$43:$U$43,0)))</f>
        <v>0</v>
      </c>
      <c r="BA31" s="47">
        <f>IF($R31="",0,$K31*$AD31*INDEX(Act_Type_Repex_Splits,MATCH($I31,Act_Type_Repex,0),MATCH(BA$5,Mat_Type,0))*INDEX(Escalators!$I$44:$U$49,MATCH(BA$5,Escalators!$C$44:$C$49,0),MATCH(BA$6,Escalators!$I$43:$U$43,0)))</f>
        <v>0</v>
      </c>
      <c r="BB31" s="47">
        <f t="shared" si="18"/>
        <v>0</v>
      </c>
      <c r="BC31" s="47">
        <f>IF($R31="",0,$L31*$AD31*INDEX(Act_Type_Repex_Splits,MATCH($I31,Act_Type_Repex,0),MATCH(BC$5,Mat_Type,0))*INDEX(Escalators!$I$44:$U$49,MATCH(BC$5,Escalators!$C$44:$C$49,0),MATCH(BC$6,Escalators!$I$43:$U$43,0)))</f>
        <v>0</v>
      </c>
      <c r="BD31" s="47">
        <f>IF($R31="",0,$L31*$AD31*INDEX(Act_Type_Repex_Splits,MATCH($I31,Act_Type_Repex,0),MATCH(BD$5,Mat_Type,0))*INDEX(Escalators!$I$44:$U$49,MATCH(BD$5,Escalators!$C$44:$C$49,0),MATCH(BD$6,Escalators!$I$43:$U$43,0)))</f>
        <v>0</v>
      </c>
      <c r="BE31" s="47">
        <f>IF($R31="",0,$L31*$AD31*INDEX(Act_Type_Repex_Splits,MATCH($I31,Act_Type_Repex,0),MATCH(BE$5,Mat_Type,0))*INDEX(Escalators!$I$44:$U$49,MATCH(BE$5,Escalators!$C$44:$C$49,0),MATCH(BE$6,Escalators!$I$43:$U$43,0)))</f>
        <v>0</v>
      </c>
      <c r="BF31" s="47">
        <f>IF($R31="",0,$L31*$AD31*INDEX(Act_Type_Repex_Splits,MATCH($I31,Act_Type_Repex,0),MATCH(BF$5,Mat_Type,0))*INDEX(Escalators!$I$44:$U$49,MATCH(BF$5,Escalators!$C$44:$C$49,0),MATCH(BF$6,Escalators!$I$43:$U$43,0)))</f>
        <v>0</v>
      </c>
      <c r="BG31" s="47">
        <f>IF($R31="",0,$L31*$AD31*INDEX(Act_Type_Repex_Splits,MATCH($I31,Act_Type_Repex,0),MATCH(BG$5,Mat_Type,0))*INDEX(Escalators!$I$44:$U$49,MATCH(BG$5,Escalators!$C$44:$C$49,0),MATCH(BG$6,Escalators!$I$43:$U$43,0)))</f>
        <v>0</v>
      </c>
      <c r="BH31" s="47">
        <f t="shared" si="19"/>
        <v>0</v>
      </c>
      <c r="BI31" s="47">
        <f>IF($R31="",0,$M31*$AD31*INDEX(Act_Type_Repex_Splits,MATCH($I31,Act_Type_Repex,0),MATCH(BI$5,Mat_Type,0))*INDEX(Escalators!$I$44:$U$49,MATCH(BI$5,Escalators!$C$44:$C$49,0),MATCH(BI$6,Escalators!$I$43:$U$43,0)))</f>
        <v>0</v>
      </c>
      <c r="BJ31" s="47">
        <f>IF($R31="",0,$M31*$AD31*INDEX(Act_Type_Repex_Splits,MATCH($I31,Act_Type_Repex,0),MATCH(BJ$5,Mat_Type,0))*INDEX(Escalators!$I$44:$U$49,MATCH(BJ$5,Escalators!$C$44:$C$49,0),MATCH(BJ$6,Escalators!$I$43:$U$43,0)))</f>
        <v>0</v>
      </c>
      <c r="BK31" s="47">
        <f>IF($R31="",0,$M31*$AD31*INDEX(Act_Type_Repex_Splits,MATCH($I31,Act_Type_Repex,0),MATCH(BK$5,Mat_Type,0))*INDEX(Escalators!$I$44:$U$49,MATCH(BK$5,Escalators!$C$44:$C$49,0),MATCH(BK$6,Escalators!$I$43:$U$43,0)))</f>
        <v>0</v>
      </c>
      <c r="BL31" s="47">
        <f>IF($R31="",0,$M31*$AD31*INDEX(Act_Type_Repex_Splits,MATCH($I31,Act_Type_Repex,0),MATCH(BL$5,Mat_Type,0))*INDEX(Escalators!$I$44:$U$49,MATCH(BL$5,Escalators!$C$44:$C$49,0),MATCH(BL$6,Escalators!$I$43:$U$43,0)))</f>
        <v>0</v>
      </c>
      <c r="BM31" s="47">
        <f>IF($R31="",0,$M31*$AD31*INDEX(Act_Type_Repex_Splits,MATCH($I31,Act_Type_Repex,0),MATCH(BM$5,Mat_Type,0))*INDEX(Escalators!$I$44:$U$49,MATCH(BM$5,Escalators!$C$44:$C$49,0),MATCH(BM$6,Escalators!$I$43:$U$43,0)))</f>
        <v>0</v>
      </c>
      <c r="BN31" s="47">
        <f t="shared" si="20"/>
        <v>0</v>
      </c>
      <c r="BO31" s="47">
        <f>IF($R31="",0,$N31*$AD31*INDEX(Act_Type_Repex_Splits,MATCH($I31,Act_Type_Repex,0),MATCH(BO$5,Mat_Type,0))*INDEX(Escalators!$I$44:$U$49,MATCH(BO$5,Escalators!$C$44:$C$49,0),MATCH(BO$6,Escalators!$I$43:$U$43,0)))</f>
        <v>0</v>
      </c>
      <c r="BP31" s="47">
        <f>IF($R31="",0,$N31*$AD31*INDEX(Act_Type_Repex_Splits,MATCH($I31,Act_Type_Repex,0),MATCH(BP$5,Mat_Type,0))*INDEX(Escalators!$I$44:$U$49,MATCH(BP$5,Escalators!$C$44:$C$49,0),MATCH(BP$6,Escalators!$I$43:$U$43,0)))</f>
        <v>0</v>
      </c>
      <c r="BQ31" s="47">
        <f>IF($R31="",0,$N31*$AD31*INDEX(Act_Type_Repex_Splits,MATCH($I31,Act_Type_Repex,0),MATCH(BQ$5,Mat_Type,0))*INDEX(Escalators!$I$44:$U$49,MATCH(BQ$5,Escalators!$C$44:$C$49,0),MATCH(BQ$6,Escalators!$I$43:$U$43,0)))</f>
        <v>0</v>
      </c>
      <c r="BR31" s="47">
        <f>IF($R31="",0,$N31*$AD31*INDEX(Act_Type_Repex_Splits,MATCH($I31,Act_Type_Repex,0),MATCH(BR$5,Mat_Type,0))*INDEX(Escalators!$I$44:$U$49,MATCH(BR$5,Escalators!$C$44:$C$49,0),MATCH(BR$6,Escalators!$I$43:$U$43,0)))</f>
        <v>0</v>
      </c>
      <c r="BS31" s="47">
        <f>IF($R31="",0,$N31*$AD31*INDEX(Act_Type_Repex_Splits,MATCH($I31,Act_Type_Repex,0),MATCH(BS$5,Mat_Type,0))*INDEX(Escalators!$I$44:$U$49,MATCH(BS$5,Escalators!$C$44:$C$49,0),MATCH(BS$6,Escalators!$I$43:$U$43,0)))</f>
        <v>0</v>
      </c>
      <c r="BT31" s="47">
        <f t="shared" si="21"/>
        <v>0</v>
      </c>
      <c r="BU31" s="47">
        <f>IF($R31="",0,$O31*$AD31*INDEX(Act_Type_Repex_Splits,MATCH($I31,Act_Type_Repex,0),MATCH(BU$5,Mat_Type,0))*INDEX(Escalators!$I$44:$U$49,MATCH(BU$5,Escalators!$C$44:$C$49,0),MATCH(BU$6,Escalators!$I$43:$U$43,0)))</f>
        <v>0</v>
      </c>
      <c r="BV31" s="47">
        <f>IF($R31="",0,$O31*$AD31*INDEX(Act_Type_Repex_Splits,MATCH($I31,Act_Type_Repex,0),MATCH(BV$5,Mat_Type,0))*INDEX(Escalators!$I$44:$U$49,MATCH(BV$5,Escalators!$C$44:$C$49,0),MATCH(BV$6,Escalators!$I$43:$U$43,0)))</f>
        <v>0</v>
      </c>
      <c r="BW31" s="47">
        <f>IF($R31="",0,$O31*$AD31*INDEX(Act_Type_Repex_Splits,MATCH($I31,Act_Type_Repex,0),MATCH(BW$5,Mat_Type,0))*INDEX(Escalators!$I$44:$U$49,MATCH(BW$5,Escalators!$C$44:$C$49,0),MATCH(BW$6,Escalators!$I$43:$U$43,0)))</f>
        <v>0</v>
      </c>
      <c r="BX31" s="47">
        <f>IF($R31="",0,$O31*$AD31*INDEX(Act_Type_Repex_Splits,MATCH($I31,Act_Type_Repex,0),MATCH(BX$5,Mat_Type,0))*INDEX(Escalators!$I$44:$U$49,MATCH(BX$5,Escalators!$C$44:$C$49,0),MATCH(BX$6,Escalators!$I$43:$U$43,0)))</f>
        <v>0</v>
      </c>
      <c r="BY31" s="47">
        <f>IF($R31="",0,$O31*$AD31*INDEX(Act_Type_Repex_Splits,MATCH($I31,Act_Type_Repex,0),MATCH(BY$5,Mat_Type,0))*INDEX(Escalators!$I$44:$U$49,MATCH(BY$5,Escalators!$C$44:$C$49,0),MATCH(BY$6,Escalators!$I$43:$U$43,0)))</f>
        <v>0</v>
      </c>
      <c r="BZ31" s="47">
        <f t="shared" si="22"/>
        <v>0</v>
      </c>
      <c r="CA31" s="47">
        <f>IF($R31="",0,$P31*$AD31*INDEX(Act_Type_Repex_Splits,MATCH($I31,Act_Type_Repex,0),MATCH(CA$5,Mat_Type,0))*INDEX(Escalators!$I$44:$U$49,MATCH(CA$5,Escalators!$C$44:$C$49,0),MATCH(CA$6,Escalators!$I$43:$U$43,0)))</f>
        <v>0</v>
      </c>
      <c r="CB31" s="47">
        <f>IF($R31="",0,$P31*$AD31*INDEX(Act_Type_Repex_Splits,MATCH($I31,Act_Type_Repex,0),MATCH(CB$5,Mat_Type,0))*INDEX(Escalators!$I$44:$U$49,MATCH(CB$5,Escalators!$C$44:$C$49,0),MATCH(CB$6,Escalators!$I$43:$U$43,0)))</f>
        <v>0</v>
      </c>
      <c r="CC31" s="47">
        <f>IF($R31="",0,$P31*$AD31*INDEX(Act_Type_Repex_Splits,MATCH($I31,Act_Type_Repex,0),MATCH(CC$5,Mat_Type,0))*INDEX(Escalators!$I$44:$U$49,MATCH(CC$5,Escalators!$C$44:$C$49,0),MATCH(CC$6,Escalators!$I$43:$U$43,0)))</f>
        <v>0</v>
      </c>
      <c r="CD31" s="47">
        <f>IF($R31="",0,$P31*$AD31*INDEX(Act_Type_Repex_Splits,MATCH($I31,Act_Type_Repex,0),MATCH(CD$5,Mat_Type,0))*INDEX(Escalators!$I$44:$U$49,MATCH(CD$5,Escalators!$C$44:$C$49,0),MATCH(CD$6,Escalators!$I$43:$U$43,0)))</f>
        <v>0</v>
      </c>
      <c r="CE31" s="47">
        <f>IF($R31="",0,$P31*$AD31*INDEX(Act_Type_Repex_Splits,MATCH($I31,Act_Type_Repex,0),MATCH(CE$5,Mat_Type,0))*INDEX(Escalators!$I$44:$U$49,MATCH(CE$5,Escalators!$C$44:$C$49,0),MATCH(CE$6,Escalators!$I$43:$U$43,0)))</f>
        <v>0</v>
      </c>
      <c r="CF31" s="47">
        <f t="shared" si="23"/>
        <v>0</v>
      </c>
      <c r="CG31" s="47">
        <f>IF($R31="",0,$Q31*$AD31*INDEX(Act_Type_Repex_Splits,MATCH($I31,Act_Type_Repex,0),MATCH(CG$5,Mat_Type,0))*INDEX(Escalators!$I$44:$U$49,MATCH(CG$5,Escalators!$C$44:$C$49,0),MATCH(CG$6,Escalators!$I$43:$U$43,0)))</f>
        <v>0</v>
      </c>
      <c r="CH31" s="47">
        <f>IF($R31="",0,$Q31*$AD31*INDEX(Act_Type_Repex_Splits,MATCH($I31,Act_Type_Repex,0),MATCH(CH$5,Mat_Type,0))*INDEX(Escalators!$I$44:$U$49,MATCH(CH$5,Escalators!$C$44:$C$49,0),MATCH(CH$6,Escalators!$I$43:$U$43,0)))</f>
        <v>0</v>
      </c>
      <c r="CI31" s="47">
        <f>IF($R31="",0,$Q31*$AD31*INDEX(Act_Type_Repex_Splits,MATCH($I31,Act_Type_Repex,0),MATCH(CI$5,Mat_Type,0))*INDEX(Escalators!$I$44:$U$49,MATCH(CI$5,Escalators!$C$44:$C$49,0),MATCH(CI$6,Escalators!$I$43:$U$43,0)))</f>
        <v>0</v>
      </c>
      <c r="CJ31" s="47">
        <f>IF($R31="",0,$Q31*$AD31*INDEX(Act_Type_Repex_Splits,MATCH($I31,Act_Type_Repex,0),MATCH(CJ$5,Mat_Type,0))*INDEX(Escalators!$I$44:$U$49,MATCH(CJ$5,Escalators!$C$44:$C$49,0),MATCH(CJ$6,Escalators!$I$43:$U$43,0)))</f>
        <v>0</v>
      </c>
      <c r="CK31" s="47">
        <f>IF($R31="",0,$Q31*$AD31*INDEX(Act_Type_Repex_Splits,MATCH($I31,Act_Type_Repex,0),MATCH(CK$5,Mat_Type,0))*INDEX(Escalators!$I$44:$U$49,MATCH(CK$5,Escalators!$C$44:$C$49,0),MATCH(CK$6,Escalators!$I$43:$U$43,0)))</f>
        <v>0</v>
      </c>
      <c r="CL31" s="47">
        <f t="shared" si="24"/>
        <v>0</v>
      </c>
      <c r="CN31" s="47">
        <f>IF($R31="",0,J31*$AE31*HLOOKUP(CN$6,Escalators!$I$25:$U$30,6,FALSE))</f>
        <v>0</v>
      </c>
      <c r="CO31" s="47">
        <f>IF($R31="",0,K31*$AE31*HLOOKUP(CO$6,Escalators!$I$25:$U$30,6,FALSE))</f>
        <v>0</v>
      </c>
      <c r="CP31" s="47">
        <f>IF($R31="",0,L31*$AE31*HLOOKUP(CP$6,Escalators!$I$25:$U$30,6,FALSE))</f>
        <v>0</v>
      </c>
      <c r="CQ31" s="47">
        <f>IF($R31="",0,M31*$AE31*HLOOKUP(CQ$6,Escalators!$I$25:$U$30,6,FALSE))</f>
        <v>0</v>
      </c>
      <c r="CR31" s="47">
        <f>IF($R31="",0,N31*$AE31*HLOOKUP(CR$6,Escalators!$I$25:$U$30,6,FALSE))</f>
        <v>0</v>
      </c>
      <c r="CS31" s="47">
        <f>IF($R31="",0,O31*$AE31*HLOOKUP(CS$6,Escalators!$I$25:$U$30,6,FALSE))</f>
        <v>0</v>
      </c>
      <c r="CT31" s="47">
        <f>IF($R31="",0,P31*$AE31*HLOOKUP(CT$6,Escalators!$I$25:$U$30,6,FALSE))</f>
        <v>0</v>
      </c>
      <c r="CU31" s="47">
        <f>IF($R31="",0,Q31*$AE31*HLOOKUP(CU$6,Escalators!$I$25:$U$30,6,FALSE))</f>
        <v>0</v>
      </c>
      <c r="CW31" s="83">
        <f t="shared" si="25"/>
        <v>0</v>
      </c>
      <c r="CX31" s="83">
        <f t="shared" si="26"/>
        <v>0</v>
      </c>
      <c r="CY31" s="83">
        <f t="shared" si="27"/>
        <v>0</v>
      </c>
      <c r="CZ31" s="83">
        <f t="shared" si="28"/>
        <v>0</v>
      </c>
      <c r="DA31" s="83">
        <f t="shared" si="29"/>
        <v>0</v>
      </c>
      <c r="DB31" s="83">
        <f t="shared" si="30"/>
        <v>0</v>
      </c>
      <c r="DC31" s="83">
        <f t="shared" si="31"/>
        <v>0</v>
      </c>
      <c r="DD31" s="83">
        <f t="shared" si="32"/>
        <v>0</v>
      </c>
      <c r="DF31" s="47">
        <f t="shared" si="33"/>
        <v>0</v>
      </c>
      <c r="DG31" s="47">
        <f t="shared" si="34"/>
        <v>0</v>
      </c>
      <c r="DH31" s="47">
        <f t="shared" si="35"/>
        <v>0</v>
      </c>
      <c r="DI31" s="47">
        <f t="shared" si="36"/>
        <v>0</v>
      </c>
      <c r="DJ31" s="47">
        <f t="shared" si="37"/>
        <v>0</v>
      </c>
      <c r="DK31" s="47">
        <f t="shared" si="38"/>
        <v>0</v>
      </c>
      <c r="DL31" s="47">
        <f t="shared" si="39"/>
        <v>0</v>
      </c>
      <c r="DM31" s="47">
        <f t="shared" si="40"/>
        <v>0</v>
      </c>
      <c r="DO31" s="39"/>
    </row>
    <row r="32" spans="2:119" x14ac:dyDescent="0.3">
      <c r="B32" s="7"/>
      <c r="C32" s="7"/>
      <c r="D32" s="7"/>
      <c r="E32" s="7"/>
      <c r="F32" s="7"/>
      <c r="G32" s="7"/>
      <c r="H32" s="7"/>
      <c r="I32" s="7"/>
      <c r="J32" s="7"/>
      <c r="K32" s="7"/>
      <c r="L32" s="7"/>
      <c r="M32" s="7"/>
      <c r="N32" s="7"/>
      <c r="O32" s="7"/>
      <c r="P32" s="7"/>
      <c r="Q32" s="7"/>
      <c r="R32" s="46"/>
      <c r="T32" s="47">
        <f t="shared" si="8"/>
        <v>0</v>
      </c>
      <c r="U32" s="47">
        <f t="shared" si="9"/>
        <v>0</v>
      </c>
      <c r="V32" s="47">
        <f t="shared" si="10"/>
        <v>0</v>
      </c>
      <c r="W32" s="47">
        <f t="shared" si="11"/>
        <v>0</v>
      </c>
      <c r="X32" s="47">
        <f t="shared" si="12"/>
        <v>0</v>
      </c>
      <c r="Y32" s="47">
        <f t="shared" si="13"/>
        <v>0</v>
      </c>
      <c r="Z32" s="47">
        <f t="shared" si="14"/>
        <v>0</v>
      </c>
      <c r="AA32" s="47">
        <f t="shared" si="15"/>
        <v>0</v>
      </c>
      <c r="AC32" s="83">
        <f t="shared" si="16"/>
        <v>0</v>
      </c>
      <c r="AD32" s="83">
        <f t="shared" si="16"/>
        <v>0</v>
      </c>
      <c r="AE32" s="83">
        <f t="shared" si="16"/>
        <v>0</v>
      </c>
      <c r="AF32" s="83">
        <f t="shared" si="16"/>
        <v>0</v>
      </c>
      <c r="AH32" s="47">
        <f>IF($R32="",0,J32*$AC32*HLOOKUP(AH$6,Escalators!$I$25:$U$30,3,FALSE))</f>
        <v>0</v>
      </c>
      <c r="AI32" s="47">
        <f>IF($R32="",0,K32*$AC32*HLOOKUP(AI$6,Escalators!$I$25:$U$30,3,FALSE))</f>
        <v>0</v>
      </c>
      <c r="AJ32" s="47">
        <f>IF($R32="",0,L32*$AC32*HLOOKUP(AJ$6,Escalators!$I$25:$U$30,3,FALSE))</f>
        <v>0</v>
      </c>
      <c r="AK32" s="47">
        <f>IF($R32="",0,M32*$AC32*HLOOKUP(AK$6,Escalators!$I$25:$U$30,3,FALSE))</f>
        <v>0</v>
      </c>
      <c r="AL32" s="47">
        <f>IF($R32="",0,N32*$AC32*HLOOKUP(AL$6,Escalators!$I$25:$U$30,3,FALSE))</f>
        <v>0</v>
      </c>
      <c r="AM32" s="47">
        <f>IF($R32="",0,O32*$AC32*HLOOKUP(AM$6,Escalators!$I$25:$U$30,3,FALSE))</f>
        <v>0</v>
      </c>
      <c r="AN32" s="47">
        <f>IF($R32="",0,P32*$AC32*HLOOKUP(AN$6,Escalators!$I$25:$U$30,3,FALSE))</f>
        <v>0</v>
      </c>
      <c r="AO32" s="47">
        <f>IF($R32="",0,Q32*$AC32*HLOOKUP(AO$6,Escalators!$I$25:$U$30,3,FALSE))</f>
        <v>0</v>
      </c>
      <c r="AQ32" s="6">
        <f>IF($R32="",0,$J32*$AD32*INDEX(Act_Type_Repex_Splits,MATCH($I32,Act_Type_Repex,0),MATCH(AQ$5,Mat_Type,0))*INDEX(Escalators!$I$44:$U$49,MATCH(AQ$5,Escalators!$C$44:$C$49,0),MATCH(AQ$6,Escalators!$I$43:$U$43,0)))</f>
        <v>0</v>
      </c>
      <c r="AR32" s="6">
        <f>IF($R32="",0,$J32*$AD32*INDEX(Act_Type_Repex_Splits,MATCH($I32,Act_Type_Repex,0),MATCH(AR$5,Mat_Type,0))*INDEX(Escalators!$I$44:$U$49,MATCH(AR$5,Escalators!$C$44:$C$49,0),MATCH(AR$6,Escalators!$I$43:$U$43,0)))</f>
        <v>0</v>
      </c>
      <c r="AS32" s="6">
        <f>IF($R32="",0,$J32*$AD32*INDEX(Act_Type_Repex_Splits,MATCH($I32,Act_Type_Repex,0),MATCH(AS$5,Mat_Type,0))*INDEX(Escalators!$I$44:$U$49,MATCH(AS$5,Escalators!$C$44:$C$49,0),MATCH(AS$6,Escalators!$I$43:$U$43,0)))</f>
        <v>0</v>
      </c>
      <c r="AT32" s="6">
        <f>IF($R32="",0,$J32*$AD32*INDEX(Act_Type_Repex_Splits,MATCH($I32,Act_Type_Repex,0),MATCH(AT$5,Mat_Type,0))*INDEX(Escalators!$I$44:$U$49,MATCH(AT$5,Escalators!$C$44:$C$49,0),MATCH(AT$6,Escalators!$I$43:$U$43,0)))</f>
        <v>0</v>
      </c>
      <c r="AU32" s="6">
        <f>IF($R32="",0,$J32*$AD32*INDEX(Act_Type_Repex_Splits,MATCH($I32,Act_Type_Repex,0),MATCH(AU$5,Mat_Type,0))*INDEX(Escalators!$I$44:$U$49,MATCH(AU$5,Escalators!$C$44:$C$49,0),MATCH(AU$6,Escalators!$I$43:$U$43,0)))</f>
        <v>0</v>
      </c>
      <c r="AV32" s="47">
        <f t="shared" si="17"/>
        <v>0</v>
      </c>
      <c r="AW32" s="47">
        <f>IF($R32="",0,$K32*$AD32*INDEX(Act_Type_Repex_Splits,MATCH($I32,Act_Type_Repex,0),MATCH(AW$5,Mat_Type,0))*INDEX(Escalators!$I$44:$U$49,MATCH(AW$5,Escalators!$C$44:$C$49,0),MATCH(AW$6,Escalators!$I$43:$U$43,0)))</f>
        <v>0</v>
      </c>
      <c r="AX32" s="47">
        <f>IF($R32="",0,$K32*$AD32*INDEX(Act_Type_Repex_Splits,MATCH($I32,Act_Type_Repex,0),MATCH(AX$5,Mat_Type,0))*INDEX(Escalators!$I$44:$U$49,MATCH(AX$5,Escalators!$C$44:$C$49,0),MATCH(AX$6,Escalators!$I$43:$U$43,0)))</f>
        <v>0</v>
      </c>
      <c r="AY32" s="47">
        <f>IF($R32="",0,$K32*$AD32*INDEX(Act_Type_Repex_Splits,MATCH($I32,Act_Type_Repex,0),MATCH(AY$5,Mat_Type,0))*INDEX(Escalators!$I$44:$U$49,MATCH(AY$5,Escalators!$C$44:$C$49,0),MATCH(AY$6,Escalators!$I$43:$U$43,0)))</f>
        <v>0</v>
      </c>
      <c r="AZ32" s="47">
        <f>IF($R32="",0,$K32*$AD32*INDEX(Act_Type_Repex_Splits,MATCH($I32,Act_Type_Repex,0),MATCH(AZ$5,Mat_Type,0))*INDEX(Escalators!$I$44:$U$49,MATCH(AZ$5,Escalators!$C$44:$C$49,0),MATCH(AZ$6,Escalators!$I$43:$U$43,0)))</f>
        <v>0</v>
      </c>
      <c r="BA32" s="47">
        <f>IF($R32="",0,$K32*$AD32*INDEX(Act_Type_Repex_Splits,MATCH($I32,Act_Type_Repex,0),MATCH(BA$5,Mat_Type,0))*INDEX(Escalators!$I$44:$U$49,MATCH(BA$5,Escalators!$C$44:$C$49,0),MATCH(BA$6,Escalators!$I$43:$U$43,0)))</f>
        <v>0</v>
      </c>
      <c r="BB32" s="47">
        <f t="shared" si="18"/>
        <v>0</v>
      </c>
      <c r="BC32" s="47">
        <f>IF($R32="",0,$L32*$AD32*INDEX(Act_Type_Repex_Splits,MATCH($I32,Act_Type_Repex,0),MATCH(BC$5,Mat_Type,0))*INDEX(Escalators!$I$44:$U$49,MATCH(BC$5,Escalators!$C$44:$C$49,0),MATCH(BC$6,Escalators!$I$43:$U$43,0)))</f>
        <v>0</v>
      </c>
      <c r="BD32" s="47">
        <f>IF($R32="",0,$L32*$AD32*INDEX(Act_Type_Repex_Splits,MATCH($I32,Act_Type_Repex,0),MATCH(BD$5,Mat_Type,0))*INDEX(Escalators!$I$44:$U$49,MATCH(BD$5,Escalators!$C$44:$C$49,0),MATCH(BD$6,Escalators!$I$43:$U$43,0)))</f>
        <v>0</v>
      </c>
      <c r="BE32" s="47">
        <f>IF($R32="",0,$L32*$AD32*INDEX(Act_Type_Repex_Splits,MATCH($I32,Act_Type_Repex,0),MATCH(BE$5,Mat_Type,0))*INDEX(Escalators!$I$44:$U$49,MATCH(BE$5,Escalators!$C$44:$C$49,0),MATCH(BE$6,Escalators!$I$43:$U$43,0)))</f>
        <v>0</v>
      </c>
      <c r="BF32" s="47">
        <f>IF($R32="",0,$L32*$AD32*INDEX(Act_Type_Repex_Splits,MATCH($I32,Act_Type_Repex,0),MATCH(BF$5,Mat_Type,0))*INDEX(Escalators!$I$44:$U$49,MATCH(BF$5,Escalators!$C$44:$C$49,0),MATCH(BF$6,Escalators!$I$43:$U$43,0)))</f>
        <v>0</v>
      </c>
      <c r="BG32" s="47">
        <f>IF($R32="",0,$L32*$AD32*INDEX(Act_Type_Repex_Splits,MATCH($I32,Act_Type_Repex,0),MATCH(BG$5,Mat_Type,0))*INDEX(Escalators!$I$44:$U$49,MATCH(BG$5,Escalators!$C$44:$C$49,0),MATCH(BG$6,Escalators!$I$43:$U$43,0)))</f>
        <v>0</v>
      </c>
      <c r="BH32" s="47">
        <f t="shared" si="19"/>
        <v>0</v>
      </c>
      <c r="BI32" s="47">
        <f>IF($R32="",0,$M32*$AD32*INDEX(Act_Type_Repex_Splits,MATCH($I32,Act_Type_Repex,0),MATCH(BI$5,Mat_Type,0))*INDEX(Escalators!$I$44:$U$49,MATCH(BI$5,Escalators!$C$44:$C$49,0),MATCH(BI$6,Escalators!$I$43:$U$43,0)))</f>
        <v>0</v>
      </c>
      <c r="BJ32" s="47">
        <f>IF($R32="",0,$M32*$AD32*INDEX(Act_Type_Repex_Splits,MATCH($I32,Act_Type_Repex,0),MATCH(BJ$5,Mat_Type,0))*INDEX(Escalators!$I$44:$U$49,MATCH(BJ$5,Escalators!$C$44:$C$49,0),MATCH(BJ$6,Escalators!$I$43:$U$43,0)))</f>
        <v>0</v>
      </c>
      <c r="BK32" s="47">
        <f>IF($R32="",0,$M32*$AD32*INDEX(Act_Type_Repex_Splits,MATCH($I32,Act_Type_Repex,0),MATCH(BK$5,Mat_Type,0))*INDEX(Escalators!$I$44:$U$49,MATCH(BK$5,Escalators!$C$44:$C$49,0),MATCH(BK$6,Escalators!$I$43:$U$43,0)))</f>
        <v>0</v>
      </c>
      <c r="BL32" s="47">
        <f>IF($R32="",0,$M32*$AD32*INDEX(Act_Type_Repex_Splits,MATCH($I32,Act_Type_Repex,0),MATCH(BL$5,Mat_Type,0))*INDEX(Escalators!$I$44:$U$49,MATCH(BL$5,Escalators!$C$44:$C$49,0),MATCH(BL$6,Escalators!$I$43:$U$43,0)))</f>
        <v>0</v>
      </c>
      <c r="BM32" s="47">
        <f>IF($R32="",0,$M32*$AD32*INDEX(Act_Type_Repex_Splits,MATCH($I32,Act_Type_Repex,0),MATCH(BM$5,Mat_Type,0))*INDEX(Escalators!$I$44:$U$49,MATCH(BM$5,Escalators!$C$44:$C$49,0),MATCH(BM$6,Escalators!$I$43:$U$43,0)))</f>
        <v>0</v>
      </c>
      <c r="BN32" s="47">
        <f t="shared" si="20"/>
        <v>0</v>
      </c>
      <c r="BO32" s="47">
        <f>IF($R32="",0,$N32*$AD32*INDEX(Act_Type_Repex_Splits,MATCH($I32,Act_Type_Repex,0),MATCH(BO$5,Mat_Type,0))*INDEX(Escalators!$I$44:$U$49,MATCH(BO$5,Escalators!$C$44:$C$49,0),MATCH(BO$6,Escalators!$I$43:$U$43,0)))</f>
        <v>0</v>
      </c>
      <c r="BP32" s="47">
        <f>IF($R32="",0,$N32*$AD32*INDEX(Act_Type_Repex_Splits,MATCH($I32,Act_Type_Repex,0),MATCH(BP$5,Mat_Type,0))*INDEX(Escalators!$I$44:$U$49,MATCH(BP$5,Escalators!$C$44:$C$49,0),MATCH(BP$6,Escalators!$I$43:$U$43,0)))</f>
        <v>0</v>
      </c>
      <c r="BQ32" s="47">
        <f>IF($R32="",0,$N32*$AD32*INDEX(Act_Type_Repex_Splits,MATCH($I32,Act_Type_Repex,0),MATCH(BQ$5,Mat_Type,0))*INDEX(Escalators!$I$44:$U$49,MATCH(BQ$5,Escalators!$C$44:$C$49,0),MATCH(BQ$6,Escalators!$I$43:$U$43,0)))</f>
        <v>0</v>
      </c>
      <c r="BR32" s="47">
        <f>IF($R32="",0,$N32*$AD32*INDEX(Act_Type_Repex_Splits,MATCH($I32,Act_Type_Repex,0),MATCH(BR$5,Mat_Type,0))*INDEX(Escalators!$I$44:$U$49,MATCH(BR$5,Escalators!$C$44:$C$49,0),MATCH(BR$6,Escalators!$I$43:$U$43,0)))</f>
        <v>0</v>
      </c>
      <c r="BS32" s="47">
        <f>IF($R32="",0,$N32*$AD32*INDEX(Act_Type_Repex_Splits,MATCH($I32,Act_Type_Repex,0),MATCH(BS$5,Mat_Type,0))*INDEX(Escalators!$I$44:$U$49,MATCH(BS$5,Escalators!$C$44:$C$49,0),MATCH(BS$6,Escalators!$I$43:$U$43,0)))</f>
        <v>0</v>
      </c>
      <c r="BT32" s="47">
        <f t="shared" si="21"/>
        <v>0</v>
      </c>
      <c r="BU32" s="47">
        <f>IF($R32="",0,$O32*$AD32*INDEX(Act_Type_Repex_Splits,MATCH($I32,Act_Type_Repex,0),MATCH(BU$5,Mat_Type,0))*INDEX(Escalators!$I$44:$U$49,MATCH(BU$5,Escalators!$C$44:$C$49,0),MATCH(BU$6,Escalators!$I$43:$U$43,0)))</f>
        <v>0</v>
      </c>
      <c r="BV32" s="47">
        <f>IF($R32="",0,$O32*$AD32*INDEX(Act_Type_Repex_Splits,MATCH($I32,Act_Type_Repex,0),MATCH(BV$5,Mat_Type,0))*INDEX(Escalators!$I$44:$U$49,MATCH(BV$5,Escalators!$C$44:$C$49,0),MATCH(BV$6,Escalators!$I$43:$U$43,0)))</f>
        <v>0</v>
      </c>
      <c r="BW32" s="47">
        <f>IF($R32="",0,$O32*$AD32*INDEX(Act_Type_Repex_Splits,MATCH($I32,Act_Type_Repex,0),MATCH(BW$5,Mat_Type,0))*INDEX(Escalators!$I$44:$U$49,MATCH(BW$5,Escalators!$C$44:$C$49,0),MATCH(BW$6,Escalators!$I$43:$U$43,0)))</f>
        <v>0</v>
      </c>
      <c r="BX32" s="47">
        <f>IF($R32="",0,$O32*$AD32*INDEX(Act_Type_Repex_Splits,MATCH($I32,Act_Type_Repex,0),MATCH(BX$5,Mat_Type,0))*INDEX(Escalators!$I$44:$U$49,MATCH(BX$5,Escalators!$C$44:$C$49,0),MATCH(BX$6,Escalators!$I$43:$U$43,0)))</f>
        <v>0</v>
      </c>
      <c r="BY32" s="47">
        <f>IF($R32="",0,$O32*$AD32*INDEX(Act_Type_Repex_Splits,MATCH($I32,Act_Type_Repex,0),MATCH(BY$5,Mat_Type,0))*INDEX(Escalators!$I$44:$U$49,MATCH(BY$5,Escalators!$C$44:$C$49,0),MATCH(BY$6,Escalators!$I$43:$U$43,0)))</f>
        <v>0</v>
      </c>
      <c r="BZ32" s="47">
        <f t="shared" si="22"/>
        <v>0</v>
      </c>
      <c r="CA32" s="47">
        <f>IF($R32="",0,$P32*$AD32*INDEX(Act_Type_Repex_Splits,MATCH($I32,Act_Type_Repex,0),MATCH(CA$5,Mat_Type,0))*INDEX(Escalators!$I$44:$U$49,MATCH(CA$5,Escalators!$C$44:$C$49,0),MATCH(CA$6,Escalators!$I$43:$U$43,0)))</f>
        <v>0</v>
      </c>
      <c r="CB32" s="47">
        <f>IF($R32="",0,$P32*$AD32*INDEX(Act_Type_Repex_Splits,MATCH($I32,Act_Type_Repex,0),MATCH(CB$5,Mat_Type,0))*INDEX(Escalators!$I$44:$U$49,MATCH(CB$5,Escalators!$C$44:$C$49,0),MATCH(CB$6,Escalators!$I$43:$U$43,0)))</f>
        <v>0</v>
      </c>
      <c r="CC32" s="47">
        <f>IF($R32="",0,$P32*$AD32*INDEX(Act_Type_Repex_Splits,MATCH($I32,Act_Type_Repex,0),MATCH(CC$5,Mat_Type,0))*INDEX(Escalators!$I$44:$U$49,MATCH(CC$5,Escalators!$C$44:$C$49,0),MATCH(CC$6,Escalators!$I$43:$U$43,0)))</f>
        <v>0</v>
      </c>
      <c r="CD32" s="47">
        <f>IF($R32="",0,$P32*$AD32*INDEX(Act_Type_Repex_Splits,MATCH($I32,Act_Type_Repex,0),MATCH(CD$5,Mat_Type,0))*INDEX(Escalators!$I$44:$U$49,MATCH(CD$5,Escalators!$C$44:$C$49,0),MATCH(CD$6,Escalators!$I$43:$U$43,0)))</f>
        <v>0</v>
      </c>
      <c r="CE32" s="47">
        <f>IF($R32="",0,$P32*$AD32*INDEX(Act_Type_Repex_Splits,MATCH($I32,Act_Type_Repex,0),MATCH(CE$5,Mat_Type,0))*INDEX(Escalators!$I$44:$U$49,MATCH(CE$5,Escalators!$C$44:$C$49,0),MATCH(CE$6,Escalators!$I$43:$U$43,0)))</f>
        <v>0</v>
      </c>
      <c r="CF32" s="47">
        <f t="shared" si="23"/>
        <v>0</v>
      </c>
      <c r="CG32" s="47">
        <f>IF($R32="",0,$Q32*$AD32*INDEX(Act_Type_Repex_Splits,MATCH($I32,Act_Type_Repex,0),MATCH(CG$5,Mat_Type,0))*INDEX(Escalators!$I$44:$U$49,MATCH(CG$5,Escalators!$C$44:$C$49,0),MATCH(CG$6,Escalators!$I$43:$U$43,0)))</f>
        <v>0</v>
      </c>
      <c r="CH32" s="47">
        <f>IF($R32="",0,$Q32*$AD32*INDEX(Act_Type_Repex_Splits,MATCH($I32,Act_Type_Repex,0),MATCH(CH$5,Mat_Type,0))*INDEX(Escalators!$I$44:$U$49,MATCH(CH$5,Escalators!$C$44:$C$49,0),MATCH(CH$6,Escalators!$I$43:$U$43,0)))</f>
        <v>0</v>
      </c>
      <c r="CI32" s="47">
        <f>IF($R32="",0,$Q32*$AD32*INDEX(Act_Type_Repex_Splits,MATCH($I32,Act_Type_Repex,0),MATCH(CI$5,Mat_Type,0))*INDEX(Escalators!$I$44:$U$49,MATCH(CI$5,Escalators!$C$44:$C$49,0),MATCH(CI$6,Escalators!$I$43:$U$43,0)))</f>
        <v>0</v>
      </c>
      <c r="CJ32" s="47">
        <f>IF($R32="",0,$Q32*$AD32*INDEX(Act_Type_Repex_Splits,MATCH($I32,Act_Type_Repex,0),MATCH(CJ$5,Mat_Type,0))*INDEX(Escalators!$I$44:$U$49,MATCH(CJ$5,Escalators!$C$44:$C$49,0),MATCH(CJ$6,Escalators!$I$43:$U$43,0)))</f>
        <v>0</v>
      </c>
      <c r="CK32" s="47">
        <f>IF($R32="",0,$Q32*$AD32*INDEX(Act_Type_Repex_Splits,MATCH($I32,Act_Type_Repex,0),MATCH(CK$5,Mat_Type,0))*INDEX(Escalators!$I$44:$U$49,MATCH(CK$5,Escalators!$C$44:$C$49,0),MATCH(CK$6,Escalators!$I$43:$U$43,0)))</f>
        <v>0</v>
      </c>
      <c r="CL32" s="47">
        <f t="shared" si="24"/>
        <v>0</v>
      </c>
      <c r="CN32" s="47">
        <f>IF($R32="",0,J32*$AE32*HLOOKUP(CN$6,Escalators!$I$25:$U$30,6,FALSE))</f>
        <v>0</v>
      </c>
      <c r="CO32" s="47">
        <f>IF($R32="",0,K32*$AE32*HLOOKUP(CO$6,Escalators!$I$25:$U$30,6,FALSE))</f>
        <v>0</v>
      </c>
      <c r="CP32" s="47">
        <f>IF($R32="",0,L32*$AE32*HLOOKUP(CP$6,Escalators!$I$25:$U$30,6,FALSE))</f>
        <v>0</v>
      </c>
      <c r="CQ32" s="47">
        <f>IF($R32="",0,M32*$AE32*HLOOKUP(CQ$6,Escalators!$I$25:$U$30,6,FALSE))</f>
        <v>0</v>
      </c>
      <c r="CR32" s="47">
        <f>IF($R32="",0,N32*$AE32*HLOOKUP(CR$6,Escalators!$I$25:$U$30,6,FALSE))</f>
        <v>0</v>
      </c>
      <c r="CS32" s="47">
        <f>IF($R32="",0,O32*$AE32*HLOOKUP(CS$6,Escalators!$I$25:$U$30,6,FALSE))</f>
        <v>0</v>
      </c>
      <c r="CT32" s="47">
        <f>IF($R32="",0,P32*$AE32*HLOOKUP(CT$6,Escalators!$I$25:$U$30,6,FALSE))</f>
        <v>0</v>
      </c>
      <c r="CU32" s="47">
        <f>IF($R32="",0,Q32*$AE32*HLOOKUP(CU$6,Escalators!$I$25:$U$30,6,FALSE))</f>
        <v>0</v>
      </c>
      <c r="CW32" s="83">
        <f t="shared" si="25"/>
        <v>0</v>
      </c>
      <c r="CX32" s="83">
        <f t="shared" si="26"/>
        <v>0</v>
      </c>
      <c r="CY32" s="83">
        <f t="shared" si="27"/>
        <v>0</v>
      </c>
      <c r="CZ32" s="83">
        <f t="shared" si="28"/>
        <v>0</v>
      </c>
      <c r="DA32" s="83">
        <f t="shared" si="29"/>
        <v>0</v>
      </c>
      <c r="DB32" s="83">
        <f t="shared" si="30"/>
        <v>0</v>
      </c>
      <c r="DC32" s="83">
        <f t="shared" si="31"/>
        <v>0</v>
      </c>
      <c r="DD32" s="83">
        <f t="shared" si="32"/>
        <v>0</v>
      </c>
      <c r="DF32" s="47">
        <f t="shared" si="33"/>
        <v>0</v>
      </c>
      <c r="DG32" s="47">
        <f t="shared" si="34"/>
        <v>0</v>
      </c>
      <c r="DH32" s="47">
        <f t="shared" si="35"/>
        <v>0</v>
      </c>
      <c r="DI32" s="47">
        <f t="shared" si="36"/>
        <v>0</v>
      </c>
      <c r="DJ32" s="47">
        <f t="shared" si="37"/>
        <v>0</v>
      </c>
      <c r="DK32" s="47">
        <f t="shared" si="38"/>
        <v>0</v>
      </c>
      <c r="DL32" s="47">
        <f t="shared" si="39"/>
        <v>0</v>
      </c>
      <c r="DM32" s="47">
        <f t="shared" si="40"/>
        <v>0</v>
      </c>
      <c r="DO32" s="39"/>
    </row>
    <row r="33" spans="2:119" x14ac:dyDescent="0.3">
      <c r="B33" s="7"/>
      <c r="C33" s="7"/>
      <c r="D33" s="7"/>
      <c r="E33" s="7"/>
      <c r="F33" s="7"/>
      <c r="G33" s="7"/>
      <c r="H33" s="7"/>
      <c r="I33" s="7"/>
      <c r="J33" s="7"/>
      <c r="K33" s="7"/>
      <c r="L33" s="7"/>
      <c r="M33" s="7"/>
      <c r="N33" s="7"/>
      <c r="O33" s="7"/>
      <c r="P33" s="7"/>
      <c r="Q33" s="7"/>
      <c r="R33" s="46"/>
      <c r="T33" s="47">
        <f t="shared" si="8"/>
        <v>0</v>
      </c>
      <c r="U33" s="47">
        <f t="shared" si="9"/>
        <v>0</v>
      </c>
      <c r="V33" s="47">
        <f t="shared" si="10"/>
        <v>0</v>
      </c>
      <c r="W33" s="47">
        <f t="shared" si="11"/>
        <v>0</v>
      </c>
      <c r="X33" s="47">
        <f t="shared" si="12"/>
        <v>0</v>
      </c>
      <c r="Y33" s="47">
        <f t="shared" si="13"/>
        <v>0</v>
      </c>
      <c r="Z33" s="47">
        <f t="shared" si="14"/>
        <v>0</v>
      </c>
      <c r="AA33" s="47">
        <f t="shared" si="15"/>
        <v>0</v>
      </c>
      <c r="AC33" s="83">
        <f t="shared" si="16"/>
        <v>0</v>
      </c>
      <c r="AD33" s="83">
        <f t="shared" si="16"/>
        <v>0</v>
      </c>
      <c r="AE33" s="83">
        <f t="shared" si="16"/>
        <v>0</v>
      </c>
      <c r="AF33" s="83">
        <f t="shared" si="16"/>
        <v>0</v>
      </c>
      <c r="AH33" s="47">
        <f>IF($R33="",0,J33*$AC33*HLOOKUP(AH$6,Escalators!$I$25:$U$30,3,FALSE))</f>
        <v>0</v>
      </c>
      <c r="AI33" s="47">
        <f>IF($R33="",0,K33*$AC33*HLOOKUP(AI$6,Escalators!$I$25:$U$30,3,FALSE))</f>
        <v>0</v>
      </c>
      <c r="AJ33" s="47">
        <f>IF($R33="",0,L33*$AC33*HLOOKUP(AJ$6,Escalators!$I$25:$U$30,3,FALSE))</f>
        <v>0</v>
      </c>
      <c r="AK33" s="47">
        <f>IF($R33="",0,M33*$AC33*HLOOKUP(AK$6,Escalators!$I$25:$U$30,3,FALSE))</f>
        <v>0</v>
      </c>
      <c r="AL33" s="47">
        <f>IF($R33="",0,N33*$AC33*HLOOKUP(AL$6,Escalators!$I$25:$U$30,3,FALSE))</f>
        <v>0</v>
      </c>
      <c r="AM33" s="47">
        <f>IF($R33="",0,O33*$AC33*HLOOKUP(AM$6,Escalators!$I$25:$U$30,3,FALSE))</f>
        <v>0</v>
      </c>
      <c r="AN33" s="47">
        <f>IF($R33="",0,P33*$AC33*HLOOKUP(AN$6,Escalators!$I$25:$U$30,3,FALSE))</f>
        <v>0</v>
      </c>
      <c r="AO33" s="47">
        <f>IF($R33="",0,Q33*$AC33*HLOOKUP(AO$6,Escalators!$I$25:$U$30,3,FALSE))</f>
        <v>0</v>
      </c>
      <c r="AQ33" s="6">
        <f>IF($R33="",0,$J33*$AD33*INDEX(Act_Type_Repex_Splits,MATCH($I33,Act_Type_Repex,0),MATCH(AQ$5,Mat_Type,0))*INDEX(Escalators!$I$44:$U$49,MATCH(AQ$5,Escalators!$C$44:$C$49,0),MATCH(AQ$6,Escalators!$I$43:$U$43,0)))</f>
        <v>0</v>
      </c>
      <c r="AR33" s="6">
        <f>IF($R33="",0,$J33*$AD33*INDEX(Act_Type_Repex_Splits,MATCH($I33,Act_Type_Repex,0),MATCH(AR$5,Mat_Type,0))*INDEX(Escalators!$I$44:$U$49,MATCH(AR$5,Escalators!$C$44:$C$49,0),MATCH(AR$6,Escalators!$I$43:$U$43,0)))</f>
        <v>0</v>
      </c>
      <c r="AS33" s="6">
        <f>IF($R33="",0,$J33*$AD33*INDEX(Act_Type_Repex_Splits,MATCH($I33,Act_Type_Repex,0),MATCH(AS$5,Mat_Type,0))*INDEX(Escalators!$I$44:$U$49,MATCH(AS$5,Escalators!$C$44:$C$49,0),MATCH(AS$6,Escalators!$I$43:$U$43,0)))</f>
        <v>0</v>
      </c>
      <c r="AT33" s="6">
        <f>IF($R33="",0,$J33*$AD33*INDEX(Act_Type_Repex_Splits,MATCH($I33,Act_Type_Repex,0),MATCH(AT$5,Mat_Type,0))*INDEX(Escalators!$I$44:$U$49,MATCH(AT$5,Escalators!$C$44:$C$49,0),MATCH(AT$6,Escalators!$I$43:$U$43,0)))</f>
        <v>0</v>
      </c>
      <c r="AU33" s="6">
        <f>IF($R33="",0,$J33*$AD33*INDEX(Act_Type_Repex_Splits,MATCH($I33,Act_Type_Repex,0),MATCH(AU$5,Mat_Type,0))*INDEX(Escalators!$I$44:$U$49,MATCH(AU$5,Escalators!$C$44:$C$49,0),MATCH(AU$6,Escalators!$I$43:$U$43,0)))</f>
        <v>0</v>
      </c>
      <c r="AV33" s="47">
        <f t="shared" si="17"/>
        <v>0</v>
      </c>
      <c r="AW33" s="47">
        <f>IF($R33="",0,$K33*$AD33*INDEX(Act_Type_Repex_Splits,MATCH($I33,Act_Type_Repex,0),MATCH(AW$5,Mat_Type,0))*INDEX(Escalators!$I$44:$U$49,MATCH(AW$5,Escalators!$C$44:$C$49,0),MATCH(AW$6,Escalators!$I$43:$U$43,0)))</f>
        <v>0</v>
      </c>
      <c r="AX33" s="47">
        <f>IF($R33="",0,$K33*$AD33*INDEX(Act_Type_Repex_Splits,MATCH($I33,Act_Type_Repex,0),MATCH(AX$5,Mat_Type,0))*INDEX(Escalators!$I$44:$U$49,MATCH(AX$5,Escalators!$C$44:$C$49,0),MATCH(AX$6,Escalators!$I$43:$U$43,0)))</f>
        <v>0</v>
      </c>
      <c r="AY33" s="47">
        <f>IF($R33="",0,$K33*$AD33*INDEX(Act_Type_Repex_Splits,MATCH($I33,Act_Type_Repex,0),MATCH(AY$5,Mat_Type,0))*INDEX(Escalators!$I$44:$U$49,MATCH(AY$5,Escalators!$C$44:$C$49,0),MATCH(AY$6,Escalators!$I$43:$U$43,0)))</f>
        <v>0</v>
      </c>
      <c r="AZ33" s="47">
        <f>IF($R33="",0,$K33*$AD33*INDEX(Act_Type_Repex_Splits,MATCH($I33,Act_Type_Repex,0),MATCH(AZ$5,Mat_Type,0))*INDEX(Escalators!$I$44:$U$49,MATCH(AZ$5,Escalators!$C$44:$C$49,0),MATCH(AZ$6,Escalators!$I$43:$U$43,0)))</f>
        <v>0</v>
      </c>
      <c r="BA33" s="47">
        <f>IF($R33="",0,$K33*$AD33*INDEX(Act_Type_Repex_Splits,MATCH($I33,Act_Type_Repex,0),MATCH(BA$5,Mat_Type,0))*INDEX(Escalators!$I$44:$U$49,MATCH(BA$5,Escalators!$C$44:$C$49,0),MATCH(BA$6,Escalators!$I$43:$U$43,0)))</f>
        <v>0</v>
      </c>
      <c r="BB33" s="47">
        <f t="shared" si="18"/>
        <v>0</v>
      </c>
      <c r="BC33" s="47">
        <f>IF($R33="",0,$L33*$AD33*INDEX(Act_Type_Repex_Splits,MATCH($I33,Act_Type_Repex,0),MATCH(BC$5,Mat_Type,0))*INDEX(Escalators!$I$44:$U$49,MATCH(BC$5,Escalators!$C$44:$C$49,0),MATCH(BC$6,Escalators!$I$43:$U$43,0)))</f>
        <v>0</v>
      </c>
      <c r="BD33" s="47">
        <f>IF($R33="",0,$L33*$AD33*INDEX(Act_Type_Repex_Splits,MATCH($I33,Act_Type_Repex,0),MATCH(BD$5,Mat_Type,0))*INDEX(Escalators!$I$44:$U$49,MATCH(BD$5,Escalators!$C$44:$C$49,0),MATCH(BD$6,Escalators!$I$43:$U$43,0)))</f>
        <v>0</v>
      </c>
      <c r="BE33" s="47">
        <f>IF($R33="",0,$L33*$AD33*INDEX(Act_Type_Repex_Splits,MATCH($I33,Act_Type_Repex,0),MATCH(BE$5,Mat_Type,0))*INDEX(Escalators!$I$44:$U$49,MATCH(BE$5,Escalators!$C$44:$C$49,0),MATCH(BE$6,Escalators!$I$43:$U$43,0)))</f>
        <v>0</v>
      </c>
      <c r="BF33" s="47">
        <f>IF($R33="",0,$L33*$AD33*INDEX(Act_Type_Repex_Splits,MATCH($I33,Act_Type_Repex,0),MATCH(BF$5,Mat_Type,0))*INDEX(Escalators!$I$44:$U$49,MATCH(BF$5,Escalators!$C$44:$C$49,0),MATCH(BF$6,Escalators!$I$43:$U$43,0)))</f>
        <v>0</v>
      </c>
      <c r="BG33" s="47">
        <f>IF($R33="",0,$L33*$AD33*INDEX(Act_Type_Repex_Splits,MATCH($I33,Act_Type_Repex,0),MATCH(BG$5,Mat_Type,0))*INDEX(Escalators!$I$44:$U$49,MATCH(BG$5,Escalators!$C$44:$C$49,0),MATCH(BG$6,Escalators!$I$43:$U$43,0)))</f>
        <v>0</v>
      </c>
      <c r="BH33" s="47">
        <f t="shared" si="19"/>
        <v>0</v>
      </c>
      <c r="BI33" s="47">
        <f>IF($R33="",0,$M33*$AD33*INDEX(Act_Type_Repex_Splits,MATCH($I33,Act_Type_Repex,0),MATCH(BI$5,Mat_Type,0))*INDEX(Escalators!$I$44:$U$49,MATCH(BI$5,Escalators!$C$44:$C$49,0),MATCH(BI$6,Escalators!$I$43:$U$43,0)))</f>
        <v>0</v>
      </c>
      <c r="BJ33" s="47">
        <f>IF($R33="",0,$M33*$AD33*INDEX(Act_Type_Repex_Splits,MATCH($I33,Act_Type_Repex,0),MATCH(BJ$5,Mat_Type,0))*INDEX(Escalators!$I$44:$U$49,MATCH(BJ$5,Escalators!$C$44:$C$49,0),MATCH(BJ$6,Escalators!$I$43:$U$43,0)))</f>
        <v>0</v>
      </c>
      <c r="BK33" s="47">
        <f>IF($R33="",0,$M33*$AD33*INDEX(Act_Type_Repex_Splits,MATCH($I33,Act_Type_Repex,0),MATCH(BK$5,Mat_Type,0))*INDEX(Escalators!$I$44:$U$49,MATCH(BK$5,Escalators!$C$44:$C$49,0),MATCH(BK$6,Escalators!$I$43:$U$43,0)))</f>
        <v>0</v>
      </c>
      <c r="BL33" s="47">
        <f>IF($R33="",0,$M33*$AD33*INDEX(Act_Type_Repex_Splits,MATCH($I33,Act_Type_Repex,0),MATCH(BL$5,Mat_Type,0))*INDEX(Escalators!$I$44:$U$49,MATCH(BL$5,Escalators!$C$44:$C$49,0),MATCH(BL$6,Escalators!$I$43:$U$43,0)))</f>
        <v>0</v>
      </c>
      <c r="BM33" s="47">
        <f>IF($R33="",0,$M33*$AD33*INDEX(Act_Type_Repex_Splits,MATCH($I33,Act_Type_Repex,0),MATCH(BM$5,Mat_Type,0))*INDEX(Escalators!$I$44:$U$49,MATCH(BM$5,Escalators!$C$44:$C$49,0),MATCH(BM$6,Escalators!$I$43:$U$43,0)))</f>
        <v>0</v>
      </c>
      <c r="BN33" s="47">
        <f t="shared" si="20"/>
        <v>0</v>
      </c>
      <c r="BO33" s="47">
        <f>IF($R33="",0,$N33*$AD33*INDEX(Act_Type_Repex_Splits,MATCH($I33,Act_Type_Repex,0),MATCH(BO$5,Mat_Type,0))*INDEX(Escalators!$I$44:$U$49,MATCH(BO$5,Escalators!$C$44:$C$49,0),MATCH(BO$6,Escalators!$I$43:$U$43,0)))</f>
        <v>0</v>
      </c>
      <c r="BP33" s="47">
        <f>IF($R33="",0,$N33*$AD33*INDEX(Act_Type_Repex_Splits,MATCH($I33,Act_Type_Repex,0),MATCH(BP$5,Mat_Type,0))*INDEX(Escalators!$I$44:$U$49,MATCH(BP$5,Escalators!$C$44:$C$49,0),MATCH(BP$6,Escalators!$I$43:$U$43,0)))</f>
        <v>0</v>
      </c>
      <c r="BQ33" s="47">
        <f>IF($R33="",0,$N33*$AD33*INDEX(Act_Type_Repex_Splits,MATCH($I33,Act_Type_Repex,0),MATCH(BQ$5,Mat_Type,0))*INDEX(Escalators!$I$44:$U$49,MATCH(BQ$5,Escalators!$C$44:$C$49,0),MATCH(BQ$6,Escalators!$I$43:$U$43,0)))</f>
        <v>0</v>
      </c>
      <c r="BR33" s="47">
        <f>IF($R33="",0,$N33*$AD33*INDEX(Act_Type_Repex_Splits,MATCH($I33,Act_Type_Repex,0),MATCH(BR$5,Mat_Type,0))*INDEX(Escalators!$I$44:$U$49,MATCH(BR$5,Escalators!$C$44:$C$49,0),MATCH(BR$6,Escalators!$I$43:$U$43,0)))</f>
        <v>0</v>
      </c>
      <c r="BS33" s="47">
        <f>IF($R33="",0,$N33*$AD33*INDEX(Act_Type_Repex_Splits,MATCH($I33,Act_Type_Repex,0),MATCH(BS$5,Mat_Type,0))*INDEX(Escalators!$I$44:$U$49,MATCH(BS$5,Escalators!$C$44:$C$49,0),MATCH(BS$6,Escalators!$I$43:$U$43,0)))</f>
        <v>0</v>
      </c>
      <c r="BT33" s="47">
        <f t="shared" si="21"/>
        <v>0</v>
      </c>
      <c r="BU33" s="47">
        <f>IF($R33="",0,$O33*$AD33*INDEX(Act_Type_Repex_Splits,MATCH($I33,Act_Type_Repex,0),MATCH(BU$5,Mat_Type,0))*INDEX(Escalators!$I$44:$U$49,MATCH(BU$5,Escalators!$C$44:$C$49,0),MATCH(BU$6,Escalators!$I$43:$U$43,0)))</f>
        <v>0</v>
      </c>
      <c r="BV33" s="47">
        <f>IF($R33="",0,$O33*$AD33*INDEX(Act_Type_Repex_Splits,MATCH($I33,Act_Type_Repex,0),MATCH(BV$5,Mat_Type,0))*INDEX(Escalators!$I$44:$U$49,MATCH(BV$5,Escalators!$C$44:$C$49,0),MATCH(BV$6,Escalators!$I$43:$U$43,0)))</f>
        <v>0</v>
      </c>
      <c r="BW33" s="47">
        <f>IF($R33="",0,$O33*$AD33*INDEX(Act_Type_Repex_Splits,MATCH($I33,Act_Type_Repex,0),MATCH(BW$5,Mat_Type,0))*INDEX(Escalators!$I$44:$U$49,MATCH(BW$5,Escalators!$C$44:$C$49,0),MATCH(BW$6,Escalators!$I$43:$U$43,0)))</f>
        <v>0</v>
      </c>
      <c r="BX33" s="47">
        <f>IF($R33="",0,$O33*$AD33*INDEX(Act_Type_Repex_Splits,MATCH($I33,Act_Type_Repex,0),MATCH(BX$5,Mat_Type,0))*INDEX(Escalators!$I$44:$U$49,MATCH(BX$5,Escalators!$C$44:$C$49,0),MATCH(BX$6,Escalators!$I$43:$U$43,0)))</f>
        <v>0</v>
      </c>
      <c r="BY33" s="47">
        <f>IF($R33="",0,$O33*$AD33*INDEX(Act_Type_Repex_Splits,MATCH($I33,Act_Type_Repex,0),MATCH(BY$5,Mat_Type,0))*INDEX(Escalators!$I$44:$U$49,MATCH(BY$5,Escalators!$C$44:$C$49,0),MATCH(BY$6,Escalators!$I$43:$U$43,0)))</f>
        <v>0</v>
      </c>
      <c r="BZ33" s="47">
        <f t="shared" si="22"/>
        <v>0</v>
      </c>
      <c r="CA33" s="47">
        <f>IF($R33="",0,$P33*$AD33*INDEX(Act_Type_Repex_Splits,MATCH($I33,Act_Type_Repex,0),MATCH(CA$5,Mat_Type,0))*INDEX(Escalators!$I$44:$U$49,MATCH(CA$5,Escalators!$C$44:$C$49,0),MATCH(CA$6,Escalators!$I$43:$U$43,0)))</f>
        <v>0</v>
      </c>
      <c r="CB33" s="47">
        <f>IF($R33="",0,$P33*$AD33*INDEX(Act_Type_Repex_Splits,MATCH($I33,Act_Type_Repex,0),MATCH(CB$5,Mat_Type,0))*INDEX(Escalators!$I$44:$U$49,MATCH(CB$5,Escalators!$C$44:$C$49,0),MATCH(CB$6,Escalators!$I$43:$U$43,0)))</f>
        <v>0</v>
      </c>
      <c r="CC33" s="47">
        <f>IF($R33="",0,$P33*$AD33*INDEX(Act_Type_Repex_Splits,MATCH($I33,Act_Type_Repex,0),MATCH(CC$5,Mat_Type,0))*INDEX(Escalators!$I$44:$U$49,MATCH(CC$5,Escalators!$C$44:$C$49,0),MATCH(CC$6,Escalators!$I$43:$U$43,0)))</f>
        <v>0</v>
      </c>
      <c r="CD33" s="47">
        <f>IF($R33="",0,$P33*$AD33*INDEX(Act_Type_Repex_Splits,MATCH($I33,Act_Type_Repex,0),MATCH(CD$5,Mat_Type,0))*INDEX(Escalators!$I$44:$U$49,MATCH(CD$5,Escalators!$C$44:$C$49,0),MATCH(CD$6,Escalators!$I$43:$U$43,0)))</f>
        <v>0</v>
      </c>
      <c r="CE33" s="47">
        <f>IF($R33="",0,$P33*$AD33*INDEX(Act_Type_Repex_Splits,MATCH($I33,Act_Type_Repex,0),MATCH(CE$5,Mat_Type,0))*INDEX(Escalators!$I$44:$U$49,MATCH(CE$5,Escalators!$C$44:$C$49,0),MATCH(CE$6,Escalators!$I$43:$U$43,0)))</f>
        <v>0</v>
      </c>
      <c r="CF33" s="47">
        <f t="shared" si="23"/>
        <v>0</v>
      </c>
      <c r="CG33" s="47">
        <f>IF($R33="",0,$Q33*$AD33*INDEX(Act_Type_Repex_Splits,MATCH($I33,Act_Type_Repex,0),MATCH(CG$5,Mat_Type,0))*INDEX(Escalators!$I$44:$U$49,MATCH(CG$5,Escalators!$C$44:$C$49,0),MATCH(CG$6,Escalators!$I$43:$U$43,0)))</f>
        <v>0</v>
      </c>
      <c r="CH33" s="47">
        <f>IF($R33="",0,$Q33*$AD33*INDEX(Act_Type_Repex_Splits,MATCH($I33,Act_Type_Repex,0),MATCH(CH$5,Mat_Type,0))*INDEX(Escalators!$I$44:$U$49,MATCH(CH$5,Escalators!$C$44:$C$49,0),MATCH(CH$6,Escalators!$I$43:$U$43,0)))</f>
        <v>0</v>
      </c>
      <c r="CI33" s="47">
        <f>IF($R33="",0,$Q33*$AD33*INDEX(Act_Type_Repex_Splits,MATCH($I33,Act_Type_Repex,0),MATCH(CI$5,Mat_Type,0))*INDEX(Escalators!$I$44:$U$49,MATCH(CI$5,Escalators!$C$44:$C$49,0),MATCH(CI$6,Escalators!$I$43:$U$43,0)))</f>
        <v>0</v>
      </c>
      <c r="CJ33" s="47">
        <f>IF($R33="",0,$Q33*$AD33*INDEX(Act_Type_Repex_Splits,MATCH($I33,Act_Type_Repex,0),MATCH(CJ$5,Mat_Type,0))*INDEX(Escalators!$I$44:$U$49,MATCH(CJ$5,Escalators!$C$44:$C$49,0),MATCH(CJ$6,Escalators!$I$43:$U$43,0)))</f>
        <v>0</v>
      </c>
      <c r="CK33" s="47">
        <f>IF($R33="",0,$Q33*$AD33*INDEX(Act_Type_Repex_Splits,MATCH($I33,Act_Type_Repex,0),MATCH(CK$5,Mat_Type,0))*INDEX(Escalators!$I$44:$U$49,MATCH(CK$5,Escalators!$C$44:$C$49,0),MATCH(CK$6,Escalators!$I$43:$U$43,0)))</f>
        <v>0</v>
      </c>
      <c r="CL33" s="47">
        <f t="shared" si="24"/>
        <v>0</v>
      </c>
      <c r="CN33" s="47">
        <f>IF($R33="",0,J33*$AE33*HLOOKUP(CN$6,Escalators!$I$25:$U$30,6,FALSE))</f>
        <v>0</v>
      </c>
      <c r="CO33" s="47">
        <f>IF($R33="",0,K33*$AE33*HLOOKUP(CO$6,Escalators!$I$25:$U$30,6,FALSE))</f>
        <v>0</v>
      </c>
      <c r="CP33" s="47">
        <f>IF($R33="",0,L33*$AE33*HLOOKUP(CP$6,Escalators!$I$25:$U$30,6,FALSE))</f>
        <v>0</v>
      </c>
      <c r="CQ33" s="47">
        <f>IF($R33="",0,M33*$AE33*HLOOKUP(CQ$6,Escalators!$I$25:$U$30,6,FALSE))</f>
        <v>0</v>
      </c>
      <c r="CR33" s="47">
        <f>IF($R33="",0,N33*$AE33*HLOOKUP(CR$6,Escalators!$I$25:$U$30,6,FALSE))</f>
        <v>0</v>
      </c>
      <c r="CS33" s="47">
        <f>IF($R33="",0,O33*$AE33*HLOOKUP(CS$6,Escalators!$I$25:$U$30,6,FALSE))</f>
        <v>0</v>
      </c>
      <c r="CT33" s="47">
        <f>IF($R33="",0,P33*$AE33*HLOOKUP(CT$6,Escalators!$I$25:$U$30,6,FALSE))</f>
        <v>0</v>
      </c>
      <c r="CU33" s="47">
        <f>IF($R33="",0,Q33*$AE33*HLOOKUP(CU$6,Escalators!$I$25:$U$30,6,FALSE))</f>
        <v>0</v>
      </c>
      <c r="CW33" s="83">
        <f t="shared" si="25"/>
        <v>0</v>
      </c>
      <c r="CX33" s="83">
        <f t="shared" si="26"/>
        <v>0</v>
      </c>
      <c r="CY33" s="83">
        <f t="shared" si="27"/>
        <v>0</v>
      </c>
      <c r="CZ33" s="83">
        <f t="shared" si="28"/>
        <v>0</v>
      </c>
      <c r="DA33" s="83">
        <f t="shared" si="29"/>
        <v>0</v>
      </c>
      <c r="DB33" s="83">
        <f t="shared" si="30"/>
        <v>0</v>
      </c>
      <c r="DC33" s="83">
        <f t="shared" si="31"/>
        <v>0</v>
      </c>
      <c r="DD33" s="83">
        <f t="shared" si="32"/>
        <v>0</v>
      </c>
      <c r="DF33" s="47">
        <f t="shared" si="33"/>
        <v>0</v>
      </c>
      <c r="DG33" s="47">
        <f t="shared" si="34"/>
        <v>0</v>
      </c>
      <c r="DH33" s="47">
        <f t="shared" si="35"/>
        <v>0</v>
      </c>
      <c r="DI33" s="47">
        <f t="shared" si="36"/>
        <v>0</v>
      </c>
      <c r="DJ33" s="47">
        <f t="shared" si="37"/>
        <v>0</v>
      </c>
      <c r="DK33" s="47">
        <f t="shared" si="38"/>
        <v>0</v>
      </c>
      <c r="DL33" s="47">
        <f t="shared" si="39"/>
        <v>0</v>
      </c>
      <c r="DM33" s="47">
        <f t="shared" si="40"/>
        <v>0</v>
      </c>
      <c r="DO33" s="39"/>
    </row>
    <row r="34" spans="2:119" x14ac:dyDescent="0.3">
      <c r="B34" s="7"/>
      <c r="C34" s="7"/>
      <c r="D34" s="7"/>
      <c r="E34" s="7"/>
      <c r="F34" s="7"/>
      <c r="G34" s="7"/>
      <c r="H34" s="7"/>
      <c r="I34" s="7"/>
      <c r="J34" s="7"/>
      <c r="K34" s="7"/>
      <c r="L34" s="7"/>
      <c r="M34" s="7"/>
      <c r="N34" s="7"/>
      <c r="O34" s="7"/>
      <c r="P34" s="7"/>
      <c r="Q34" s="7"/>
      <c r="R34" s="46"/>
      <c r="T34" s="47">
        <f t="shared" si="8"/>
        <v>0</v>
      </c>
      <c r="U34" s="47">
        <f t="shared" si="9"/>
        <v>0</v>
      </c>
      <c r="V34" s="47">
        <f t="shared" si="10"/>
        <v>0</v>
      </c>
      <c r="W34" s="47">
        <f t="shared" si="11"/>
        <v>0</v>
      </c>
      <c r="X34" s="47">
        <f t="shared" si="12"/>
        <v>0</v>
      </c>
      <c r="Y34" s="47">
        <f t="shared" si="13"/>
        <v>0</v>
      </c>
      <c r="Z34" s="47">
        <f t="shared" si="14"/>
        <v>0</v>
      </c>
      <c r="AA34" s="47">
        <f t="shared" si="15"/>
        <v>0</v>
      </c>
      <c r="AC34" s="83">
        <f t="shared" si="16"/>
        <v>0</v>
      </c>
      <c r="AD34" s="83">
        <f t="shared" si="16"/>
        <v>0</v>
      </c>
      <c r="AE34" s="83">
        <f t="shared" si="16"/>
        <v>0</v>
      </c>
      <c r="AF34" s="83">
        <f t="shared" si="16"/>
        <v>0</v>
      </c>
      <c r="AH34" s="47">
        <f>IF($R34="",0,J34*$AC34*HLOOKUP(AH$6,Escalators!$I$25:$U$30,3,FALSE))</f>
        <v>0</v>
      </c>
      <c r="AI34" s="47">
        <f>IF($R34="",0,K34*$AC34*HLOOKUP(AI$6,Escalators!$I$25:$U$30,3,FALSE))</f>
        <v>0</v>
      </c>
      <c r="AJ34" s="47">
        <f>IF($R34="",0,L34*$AC34*HLOOKUP(AJ$6,Escalators!$I$25:$U$30,3,FALSE))</f>
        <v>0</v>
      </c>
      <c r="AK34" s="47">
        <f>IF($R34="",0,M34*$AC34*HLOOKUP(AK$6,Escalators!$I$25:$U$30,3,FALSE))</f>
        <v>0</v>
      </c>
      <c r="AL34" s="47">
        <f>IF($R34="",0,N34*$AC34*HLOOKUP(AL$6,Escalators!$I$25:$U$30,3,FALSE))</f>
        <v>0</v>
      </c>
      <c r="AM34" s="47">
        <f>IF($R34="",0,O34*$AC34*HLOOKUP(AM$6,Escalators!$I$25:$U$30,3,FALSE))</f>
        <v>0</v>
      </c>
      <c r="AN34" s="47">
        <f>IF($R34="",0,P34*$AC34*HLOOKUP(AN$6,Escalators!$I$25:$U$30,3,FALSE))</f>
        <v>0</v>
      </c>
      <c r="AO34" s="47">
        <f>IF($R34="",0,Q34*$AC34*HLOOKUP(AO$6,Escalators!$I$25:$U$30,3,FALSE))</f>
        <v>0</v>
      </c>
      <c r="AQ34" s="6">
        <f>IF($R34="",0,$J34*$AD34*INDEX(Act_Type_Repex_Splits,MATCH($I34,Act_Type_Repex,0),MATCH(AQ$5,Mat_Type,0))*INDEX(Escalators!$I$44:$U$49,MATCH(AQ$5,Escalators!$C$44:$C$49,0),MATCH(AQ$6,Escalators!$I$43:$U$43,0)))</f>
        <v>0</v>
      </c>
      <c r="AR34" s="6">
        <f>IF($R34="",0,$J34*$AD34*INDEX(Act_Type_Repex_Splits,MATCH($I34,Act_Type_Repex,0),MATCH(AR$5,Mat_Type,0))*INDEX(Escalators!$I$44:$U$49,MATCH(AR$5,Escalators!$C$44:$C$49,0),MATCH(AR$6,Escalators!$I$43:$U$43,0)))</f>
        <v>0</v>
      </c>
      <c r="AS34" s="6">
        <f>IF($R34="",0,$J34*$AD34*INDEX(Act_Type_Repex_Splits,MATCH($I34,Act_Type_Repex,0),MATCH(AS$5,Mat_Type,0))*INDEX(Escalators!$I$44:$U$49,MATCH(AS$5,Escalators!$C$44:$C$49,0),MATCH(AS$6,Escalators!$I$43:$U$43,0)))</f>
        <v>0</v>
      </c>
      <c r="AT34" s="6">
        <f>IF($R34="",0,$J34*$AD34*INDEX(Act_Type_Repex_Splits,MATCH($I34,Act_Type_Repex,0),MATCH(AT$5,Mat_Type,0))*INDEX(Escalators!$I$44:$U$49,MATCH(AT$5,Escalators!$C$44:$C$49,0),MATCH(AT$6,Escalators!$I$43:$U$43,0)))</f>
        <v>0</v>
      </c>
      <c r="AU34" s="6">
        <f>IF($R34="",0,$J34*$AD34*INDEX(Act_Type_Repex_Splits,MATCH($I34,Act_Type_Repex,0),MATCH(AU$5,Mat_Type,0))*INDEX(Escalators!$I$44:$U$49,MATCH(AU$5,Escalators!$C$44:$C$49,0),MATCH(AU$6,Escalators!$I$43:$U$43,0)))</f>
        <v>0</v>
      </c>
      <c r="AV34" s="47">
        <f t="shared" si="17"/>
        <v>0</v>
      </c>
      <c r="AW34" s="47">
        <f>IF($R34="",0,$K34*$AD34*INDEX(Act_Type_Repex_Splits,MATCH($I34,Act_Type_Repex,0),MATCH(AW$5,Mat_Type,0))*INDEX(Escalators!$I$44:$U$49,MATCH(AW$5,Escalators!$C$44:$C$49,0),MATCH(AW$6,Escalators!$I$43:$U$43,0)))</f>
        <v>0</v>
      </c>
      <c r="AX34" s="47">
        <f>IF($R34="",0,$K34*$AD34*INDEX(Act_Type_Repex_Splits,MATCH($I34,Act_Type_Repex,0),MATCH(AX$5,Mat_Type,0))*INDEX(Escalators!$I$44:$U$49,MATCH(AX$5,Escalators!$C$44:$C$49,0),MATCH(AX$6,Escalators!$I$43:$U$43,0)))</f>
        <v>0</v>
      </c>
      <c r="AY34" s="47">
        <f>IF($R34="",0,$K34*$AD34*INDEX(Act_Type_Repex_Splits,MATCH($I34,Act_Type_Repex,0),MATCH(AY$5,Mat_Type,0))*INDEX(Escalators!$I$44:$U$49,MATCH(AY$5,Escalators!$C$44:$C$49,0),MATCH(AY$6,Escalators!$I$43:$U$43,0)))</f>
        <v>0</v>
      </c>
      <c r="AZ34" s="47">
        <f>IF($R34="",0,$K34*$AD34*INDEX(Act_Type_Repex_Splits,MATCH($I34,Act_Type_Repex,0),MATCH(AZ$5,Mat_Type,0))*INDEX(Escalators!$I$44:$U$49,MATCH(AZ$5,Escalators!$C$44:$C$49,0),MATCH(AZ$6,Escalators!$I$43:$U$43,0)))</f>
        <v>0</v>
      </c>
      <c r="BA34" s="47">
        <f>IF($R34="",0,$K34*$AD34*INDEX(Act_Type_Repex_Splits,MATCH($I34,Act_Type_Repex,0),MATCH(BA$5,Mat_Type,0))*INDEX(Escalators!$I$44:$U$49,MATCH(BA$5,Escalators!$C$44:$C$49,0),MATCH(BA$6,Escalators!$I$43:$U$43,0)))</f>
        <v>0</v>
      </c>
      <c r="BB34" s="47">
        <f t="shared" si="18"/>
        <v>0</v>
      </c>
      <c r="BC34" s="47">
        <f>IF($R34="",0,$L34*$AD34*INDEX(Act_Type_Repex_Splits,MATCH($I34,Act_Type_Repex,0),MATCH(BC$5,Mat_Type,0))*INDEX(Escalators!$I$44:$U$49,MATCH(BC$5,Escalators!$C$44:$C$49,0),MATCH(BC$6,Escalators!$I$43:$U$43,0)))</f>
        <v>0</v>
      </c>
      <c r="BD34" s="47">
        <f>IF($R34="",0,$L34*$AD34*INDEX(Act_Type_Repex_Splits,MATCH($I34,Act_Type_Repex,0),MATCH(BD$5,Mat_Type,0))*INDEX(Escalators!$I$44:$U$49,MATCH(BD$5,Escalators!$C$44:$C$49,0),MATCH(BD$6,Escalators!$I$43:$U$43,0)))</f>
        <v>0</v>
      </c>
      <c r="BE34" s="47">
        <f>IF($R34="",0,$L34*$AD34*INDEX(Act_Type_Repex_Splits,MATCH($I34,Act_Type_Repex,0),MATCH(BE$5,Mat_Type,0))*INDEX(Escalators!$I$44:$U$49,MATCH(BE$5,Escalators!$C$44:$C$49,0),MATCH(BE$6,Escalators!$I$43:$U$43,0)))</f>
        <v>0</v>
      </c>
      <c r="BF34" s="47">
        <f>IF($R34="",0,$L34*$AD34*INDEX(Act_Type_Repex_Splits,MATCH($I34,Act_Type_Repex,0),MATCH(BF$5,Mat_Type,0))*INDEX(Escalators!$I$44:$U$49,MATCH(BF$5,Escalators!$C$44:$C$49,0),MATCH(BF$6,Escalators!$I$43:$U$43,0)))</f>
        <v>0</v>
      </c>
      <c r="BG34" s="47">
        <f>IF($R34="",0,$L34*$AD34*INDEX(Act_Type_Repex_Splits,MATCH($I34,Act_Type_Repex,0),MATCH(BG$5,Mat_Type,0))*INDEX(Escalators!$I$44:$U$49,MATCH(BG$5,Escalators!$C$44:$C$49,0),MATCH(BG$6,Escalators!$I$43:$U$43,0)))</f>
        <v>0</v>
      </c>
      <c r="BH34" s="47">
        <f t="shared" si="19"/>
        <v>0</v>
      </c>
      <c r="BI34" s="47">
        <f>IF($R34="",0,$M34*$AD34*INDEX(Act_Type_Repex_Splits,MATCH($I34,Act_Type_Repex,0),MATCH(BI$5,Mat_Type,0))*INDEX(Escalators!$I$44:$U$49,MATCH(BI$5,Escalators!$C$44:$C$49,0),MATCH(BI$6,Escalators!$I$43:$U$43,0)))</f>
        <v>0</v>
      </c>
      <c r="BJ34" s="47">
        <f>IF($R34="",0,$M34*$AD34*INDEX(Act_Type_Repex_Splits,MATCH($I34,Act_Type_Repex,0),MATCH(BJ$5,Mat_Type,0))*INDEX(Escalators!$I$44:$U$49,MATCH(BJ$5,Escalators!$C$44:$C$49,0),MATCH(BJ$6,Escalators!$I$43:$U$43,0)))</f>
        <v>0</v>
      </c>
      <c r="BK34" s="47">
        <f>IF($R34="",0,$M34*$AD34*INDEX(Act_Type_Repex_Splits,MATCH($I34,Act_Type_Repex,0),MATCH(BK$5,Mat_Type,0))*INDEX(Escalators!$I$44:$U$49,MATCH(BK$5,Escalators!$C$44:$C$49,0),MATCH(BK$6,Escalators!$I$43:$U$43,0)))</f>
        <v>0</v>
      </c>
      <c r="BL34" s="47">
        <f>IF($R34="",0,$M34*$AD34*INDEX(Act_Type_Repex_Splits,MATCH($I34,Act_Type_Repex,0),MATCH(BL$5,Mat_Type,0))*INDEX(Escalators!$I$44:$U$49,MATCH(BL$5,Escalators!$C$44:$C$49,0),MATCH(BL$6,Escalators!$I$43:$U$43,0)))</f>
        <v>0</v>
      </c>
      <c r="BM34" s="47">
        <f>IF($R34="",0,$M34*$AD34*INDEX(Act_Type_Repex_Splits,MATCH($I34,Act_Type_Repex,0),MATCH(BM$5,Mat_Type,0))*INDEX(Escalators!$I$44:$U$49,MATCH(BM$5,Escalators!$C$44:$C$49,0),MATCH(BM$6,Escalators!$I$43:$U$43,0)))</f>
        <v>0</v>
      </c>
      <c r="BN34" s="47">
        <f t="shared" si="20"/>
        <v>0</v>
      </c>
      <c r="BO34" s="47">
        <f>IF($R34="",0,$N34*$AD34*INDEX(Act_Type_Repex_Splits,MATCH($I34,Act_Type_Repex,0),MATCH(BO$5,Mat_Type,0))*INDEX(Escalators!$I$44:$U$49,MATCH(BO$5,Escalators!$C$44:$C$49,0),MATCH(BO$6,Escalators!$I$43:$U$43,0)))</f>
        <v>0</v>
      </c>
      <c r="BP34" s="47">
        <f>IF($R34="",0,$N34*$AD34*INDEX(Act_Type_Repex_Splits,MATCH($I34,Act_Type_Repex,0),MATCH(BP$5,Mat_Type,0))*INDEX(Escalators!$I$44:$U$49,MATCH(BP$5,Escalators!$C$44:$C$49,0),MATCH(BP$6,Escalators!$I$43:$U$43,0)))</f>
        <v>0</v>
      </c>
      <c r="BQ34" s="47">
        <f>IF($R34="",0,$N34*$AD34*INDEX(Act_Type_Repex_Splits,MATCH($I34,Act_Type_Repex,0),MATCH(BQ$5,Mat_Type,0))*INDEX(Escalators!$I$44:$U$49,MATCH(BQ$5,Escalators!$C$44:$C$49,0),MATCH(BQ$6,Escalators!$I$43:$U$43,0)))</f>
        <v>0</v>
      </c>
      <c r="BR34" s="47">
        <f>IF($R34="",0,$N34*$AD34*INDEX(Act_Type_Repex_Splits,MATCH($I34,Act_Type_Repex,0),MATCH(BR$5,Mat_Type,0))*INDEX(Escalators!$I$44:$U$49,MATCH(BR$5,Escalators!$C$44:$C$49,0),MATCH(BR$6,Escalators!$I$43:$U$43,0)))</f>
        <v>0</v>
      </c>
      <c r="BS34" s="47">
        <f>IF($R34="",0,$N34*$AD34*INDEX(Act_Type_Repex_Splits,MATCH($I34,Act_Type_Repex,0),MATCH(BS$5,Mat_Type,0))*INDEX(Escalators!$I$44:$U$49,MATCH(BS$5,Escalators!$C$44:$C$49,0),MATCH(BS$6,Escalators!$I$43:$U$43,0)))</f>
        <v>0</v>
      </c>
      <c r="BT34" s="47">
        <f t="shared" si="21"/>
        <v>0</v>
      </c>
      <c r="BU34" s="47">
        <f>IF($R34="",0,$O34*$AD34*INDEX(Act_Type_Repex_Splits,MATCH($I34,Act_Type_Repex,0),MATCH(BU$5,Mat_Type,0))*INDEX(Escalators!$I$44:$U$49,MATCH(BU$5,Escalators!$C$44:$C$49,0),MATCH(BU$6,Escalators!$I$43:$U$43,0)))</f>
        <v>0</v>
      </c>
      <c r="BV34" s="47">
        <f>IF($R34="",0,$O34*$AD34*INDEX(Act_Type_Repex_Splits,MATCH($I34,Act_Type_Repex,0),MATCH(BV$5,Mat_Type,0))*INDEX(Escalators!$I$44:$U$49,MATCH(BV$5,Escalators!$C$44:$C$49,0),MATCH(BV$6,Escalators!$I$43:$U$43,0)))</f>
        <v>0</v>
      </c>
      <c r="BW34" s="47">
        <f>IF($R34="",0,$O34*$AD34*INDEX(Act_Type_Repex_Splits,MATCH($I34,Act_Type_Repex,0),MATCH(BW$5,Mat_Type,0))*INDEX(Escalators!$I$44:$U$49,MATCH(BW$5,Escalators!$C$44:$C$49,0),MATCH(BW$6,Escalators!$I$43:$U$43,0)))</f>
        <v>0</v>
      </c>
      <c r="BX34" s="47">
        <f>IF($R34="",0,$O34*$AD34*INDEX(Act_Type_Repex_Splits,MATCH($I34,Act_Type_Repex,0),MATCH(BX$5,Mat_Type,0))*INDEX(Escalators!$I$44:$U$49,MATCH(BX$5,Escalators!$C$44:$C$49,0),MATCH(BX$6,Escalators!$I$43:$U$43,0)))</f>
        <v>0</v>
      </c>
      <c r="BY34" s="47">
        <f>IF($R34="",0,$O34*$AD34*INDEX(Act_Type_Repex_Splits,MATCH($I34,Act_Type_Repex,0),MATCH(BY$5,Mat_Type,0))*INDEX(Escalators!$I$44:$U$49,MATCH(BY$5,Escalators!$C$44:$C$49,0),MATCH(BY$6,Escalators!$I$43:$U$43,0)))</f>
        <v>0</v>
      </c>
      <c r="BZ34" s="47">
        <f t="shared" si="22"/>
        <v>0</v>
      </c>
      <c r="CA34" s="47">
        <f>IF($R34="",0,$P34*$AD34*INDEX(Act_Type_Repex_Splits,MATCH($I34,Act_Type_Repex,0),MATCH(CA$5,Mat_Type,0))*INDEX(Escalators!$I$44:$U$49,MATCH(CA$5,Escalators!$C$44:$C$49,0),MATCH(CA$6,Escalators!$I$43:$U$43,0)))</f>
        <v>0</v>
      </c>
      <c r="CB34" s="47">
        <f>IF($R34="",0,$P34*$AD34*INDEX(Act_Type_Repex_Splits,MATCH($I34,Act_Type_Repex,0),MATCH(CB$5,Mat_Type,0))*INDEX(Escalators!$I$44:$U$49,MATCH(CB$5,Escalators!$C$44:$C$49,0),MATCH(CB$6,Escalators!$I$43:$U$43,0)))</f>
        <v>0</v>
      </c>
      <c r="CC34" s="47">
        <f>IF($R34="",0,$P34*$AD34*INDEX(Act_Type_Repex_Splits,MATCH($I34,Act_Type_Repex,0),MATCH(CC$5,Mat_Type,0))*INDEX(Escalators!$I$44:$U$49,MATCH(CC$5,Escalators!$C$44:$C$49,0),MATCH(CC$6,Escalators!$I$43:$U$43,0)))</f>
        <v>0</v>
      </c>
      <c r="CD34" s="47">
        <f>IF($R34="",0,$P34*$AD34*INDEX(Act_Type_Repex_Splits,MATCH($I34,Act_Type_Repex,0),MATCH(CD$5,Mat_Type,0))*INDEX(Escalators!$I$44:$U$49,MATCH(CD$5,Escalators!$C$44:$C$49,0),MATCH(CD$6,Escalators!$I$43:$U$43,0)))</f>
        <v>0</v>
      </c>
      <c r="CE34" s="47">
        <f>IF($R34="",0,$P34*$AD34*INDEX(Act_Type_Repex_Splits,MATCH($I34,Act_Type_Repex,0),MATCH(CE$5,Mat_Type,0))*INDEX(Escalators!$I$44:$U$49,MATCH(CE$5,Escalators!$C$44:$C$49,0),MATCH(CE$6,Escalators!$I$43:$U$43,0)))</f>
        <v>0</v>
      </c>
      <c r="CF34" s="47">
        <f t="shared" si="23"/>
        <v>0</v>
      </c>
      <c r="CG34" s="47">
        <f>IF($R34="",0,$Q34*$AD34*INDEX(Act_Type_Repex_Splits,MATCH($I34,Act_Type_Repex,0),MATCH(CG$5,Mat_Type,0))*INDEX(Escalators!$I$44:$U$49,MATCH(CG$5,Escalators!$C$44:$C$49,0),MATCH(CG$6,Escalators!$I$43:$U$43,0)))</f>
        <v>0</v>
      </c>
      <c r="CH34" s="47">
        <f>IF($R34="",0,$Q34*$AD34*INDEX(Act_Type_Repex_Splits,MATCH($I34,Act_Type_Repex,0),MATCH(CH$5,Mat_Type,0))*INDEX(Escalators!$I$44:$U$49,MATCH(CH$5,Escalators!$C$44:$C$49,0),MATCH(CH$6,Escalators!$I$43:$U$43,0)))</f>
        <v>0</v>
      </c>
      <c r="CI34" s="47">
        <f>IF($R34="",0,$Q34*$AD34*INDEX(Act_Type_Repex_Splits,MATCH($I34,Act_Type_Repex,0),MATCH(CI$5,Mat_Type,0))*INDEX(Escalators!$I$44:$U$49,MATCH(CI$5,Escalators!$C$44:$C$49,0),MATCH(CI$6,Escalators!$I$43:$U$43,0)))</f>
        <v>0</v>
      </c>
      <c r="CJ34" s="47">
        <f>IF($R34="",0,$Q34*$AD34*INDEX(Act_Type_Repex_Splits,MATCH($I34,Act_Type_Repex,0),MATCH(CJ$5,Mat_Type,0))*INDEX(Escalators!$I$44:$U$49,MATCH(CJ$5,Escalators!$C$44:$C$49,0),MATCH(CJ$6,Escalators!$I$43:$U$43,0)))</f>
        <v>0</v>
      </c>
      <c r="CK34" s="47">
        <f>IF($R34="",0,$Q34*$AD34*INDEX(Act_Type_Repex_Splits,MATCH($I34,Act_Type_Repex,0),MATCH(CK$5,Mat_Type,0))*INDEX(Escalators!$I$44:$U$49,MATCH(CK$5,Escalators!$C$44:$C$49,0),MATCH(CK$6,Escalators!$I$43:$U$43,0)))</f>
        <v>0</v>
      </c>
      <c r="CL34" s="47">
        <f t="shared" si="24"/>
        <v>0</v>
      </c>
      <c r="CN34" s="47">
        <f>IF($R34="",0,J34*$AE34*HLOOKUP(CN$6,Escalators!$I$25:$U$30,6,FALSE))</f>
        <v>0</v>
      </c>
      <c r="CO34" s="47">
        <f>IF($R34="",0,K34*$AE34*HLOOKUP(CO$6,Escalators!$I$25:$U$30,6,FALSE))</f>
        <v>0</v>
      </c>
      <c r="CP34" s="47">
        <f>IF($R34="",0,L34*$AE34*HLOOKUP(CP$6,Escalators!$I$25:$U$30,6,FALSE))</f>
        <v>0</v>
      </c>
      <c r="CQ34" s="47">
        <f>IF($R34="",0,M34*$AE34*HLOOKUP(CQ$6,Escalators!$I$25:$U$30,6,FALSE))</f>
        <v>0</v>
      </c>
      <c r="CR34" s="47">
        <f>IF($R34="",0,N34*$AE34*HLOOKUP(CR$6,Escalators!$I$25:$U$30,6,FALSE))</f>
        <v>0</v>
      </c>
      <c r="CS34" s="47">
        <f>IF($R34="",0,O34*$AE34*HLOOKUP(CS$6,Escalators!$I$25:$U$30,6,FALSE))</f>
        <v>0</v>
      </c>
      <c r="CT34" s="47">
        <f>IF($R34="",0,P34*$AE34*HLOOKUP(CT$6,Escalators!$I$25:$U$30,6,FALSE))</f>
        <v>0</v>
      </c>
      <c r="CU34" s="47">
        <f>IF($R34="",0,Q34*$AE34*HLOOKUP(CU$6,Escalators!$I$25:$U$30,6,FALSE))</f>
        <v>0</v>
      </c>
      <c r="CW34" s="83">
        <f t="shared" si="25"/>
        <v>0</v>
      </c>
      <c r="CX34" s="83">
        <f t="shared" si="26"/>
        <v>0</v>
      </c>
      <c r="CY34" s="83">
        <f t="shared" si="27"/>
        <v>0</v>
      </c>
      <c r="CZ34" s="83">
        <f t="shared" si="28"/>
        <v>0</v>
      </c>
      <c r="DA34" s="83">
        <f t="shared" si="29"/>
        <v>0</v>
      </c>
      <c r="DB34" s="83">
        <f t="shared" si="30"/>
        <v>0</v>
      </c>
      <c r="DC34" s="83">
        <f t="shared" si="31"/>
        <v>0</v>
      </c>
      <c r="DD34" s="83">
        <f t="shared" si="32"/>
        <v>0</v>
      </c>
      <c r="DF34" s="47">
        <f t="shared" si="33"/>
        <v>0</v>
      </c>
      <c r="DG34" s="47">
        <f t="shared" si="34"/>
        <v>0</v>
      </c>
      <c r="DH34" s="47">
        <f t="shared" si="35"/>
        <v>0</v>
      </c>
      <c r="DI34" s="47">
        <f t="shared" si="36"/>
        <v>0</v>
      </c>
      <c r="DJ34" s="47">
        <f t="shared" si="37"/>
        <v>0</v>
      </c>
      <c r="DK34" s="47">
        <f t="shared" si="38"/>
        <v>0</v>
      </c>
      <c r="DL34" s="47">
        <f t="shared" si="39"/>
        <v>0</v>
      </c>
      <c r="DM34" s="47">
        <f t="shared" si="40"/>
        <v>0</v>
      </c>
      <c r="DO34" s="39"/>
    </row>
    <row r="35" spans="2:119" x14ac:dyDescent="0.3">
      <c r="B35" s="7"/>
      <c r="C35" s="7"/>
      <c r="D35" s="7"/>
      <c r="E35" s="7"/>
      <c r="F35" s="7"/>
      <c r="G35" s="7"/>
      <c r="H35" s="7"/>
      <c r="I35" s="7"/>
      <c r="J35" s="7"/>
      <c r="K35" s="7"/>
      <c r="L35" s="7"/>
      <c r="M35" s="7"/>
      <c r="N35" s="7"/>
      <c r="O35" s="7"/>
      <c r="P35" s="7"/>
      <c r="Q35" s="7"/>
      <c r="R35" s="46"/>
      <c r="T35" s="47">
        <f t="shared" si="8"/>
        <v>0</v>
      </c>
      <c r="U35" s="47">
        <f t="shared" si="9"/>
        <v>0</v>
      </c>
      <c r="V35" s="47">
        <f t="shared" si="10"/>
        <v>0</v>
      </c>
      <c r="W35" s="47">
        <f t="shared" si="11"/>
        <v>0</v>
      </c>
      <c r="X35" s="47">
        <f t="shared" si="12"/>
        <v>0</v>
      </c>
      <c r="Y35" s="47">
        <f t="shared" si="13"/>
        <v>0</v>
      </c>
      <c r="Z35" s="47">
        <f t="shared" si="14"/>
        <v>0</v>
      </c>
      <c r="AA35" s="47">
        <f t="shared" si="15"/>
        <v>0</v>
      </c>
      <c r="AC35" s="83">
        <f t="shared" si="16"/>
        <v>0</v>
      </c>
      <c r="AD35" s="83">
        <f t="shared" si="16"/>
        <v>0</v>
      </c>
      <c r="AE35" s="83">
        <f t="shared" si="16"/>
        <v>0</v>
      </c>
      <c r="AF35" s="83">
        <f t="shared" si="16"/>
        <v>0</v>
      </c>
      <c r="AH35" s="47">
        <f>IF($R35="",0,J35*$AC35*HLOOKUP(AH$6,Escalators!$I$25:$U$30,3,FALSE))</f>
        <v>0</v>
      </c>
      <c r="AI35" s="47">
        <f>IF($R35="",0,K35*$AC35*HLOOKUP(AI$6,Escalators!$I$25:$U$30,3,FALSE))</f>
        <v>0</v>
      </c>
      <c r="AJ35" s="47">
        <f>IF($R35="",0,L35*$AC35*HLOOKUP(AJ$6,Escalators!$I$25:$U$30,3,FALSE))</f>
        <v>0</v>
      </c>
      <c r="AK35" s="47">
        <f>IF($R35="",0,M35*$AC35*HLOOKUP(AK$6,Escalators!$I$25:$U$30,3,FALSE))</f>
        <v>0</v>
      </c>
      <c r="AL35" s="47">
        <f>IF($R35="",0,N35*$AC35*HLOOKUP(AL$6,Escalators!$I$25:$U$30,3,FALSE))</f>
        <v>0</v>
      </c>
      <c r="AM35" s="47">
        <f>IF($R35="",0,O35*$AC35*HLOOKUP(AM$6,Escalators!$I$25:$U$30,3,FALSE))</f>
        <v>0</v>
      </c>
      <c r="AN35" s="47">
        <f>IF($R35="",0,P35*$AC35*HLOOKUP(AN$6,Escalators!$I$25:$U$30,3,FALSE))</f>
        <v>0</v>
      </c>
      <c r="AO35" s="47">
        <f>IF($R35="",0,Q35*$AC35*HLOOKUP(AO$6,Escalators!$I$25:$U$30,3,FALSE))</f>
        <v>0</v>
      </c>
      <c r="AQ35" s="6">
        <f>IF($R35="",0,$J35*$AD35*INDEX(Act_Type_Repex_Splits,MATCH($I35,Act_Type_Repex,0),MATCH(AQ$5,Mat_Type,0))*INDEX(Escalators!$I$44:$U$49,MATCH(AQ$5,Escalators!$C$44:$C$49,0),MATCH(AQ$6,Escalators!$I$43:$U$43,0)))</f>
        <v>0</v>
      </c>
      <c r="AR35" s="6">
        <f>IF($R35="",0,$J35*$AD35*INDEX(Act_Type_Repex_Splits,MATCH($I35,Act_Type_Repex,0),MATCH(AR$5,Mat_Type,0))*INDEX(Escalators!$I$44:$U$49,MATCH(AR$5,Escalators!$C$44:$C$49,0),MATCH(AR$6,Escalators!$I$43:$U$43,0)))</f>
        <v>0</v>
      </c>
      <c r="AS35" s="6">
        <f>IF($R35="",0,$J35*$AD35*INDEX(Act_Type_Repex_Splits,MATCH($I35,Act_Type_Repex,0),MATCH(AS$5,Mat_Type,0))*INDEX(Escalators!$I$44:$U$49,MATCH(AS$5,Escalators!$C$44:$C$49,0),MATCH(AS$6,Escalators!$I$43:$U$43,0)))</f>
        <v>0</v>
      </c>
      <c r="AT35" s="6">
        <f>IF($R35="",0,$J35*$AD35*INDEX(Act_Type_Repex_Splits,MATCH($I35,Act_Type_Repex,0),MATCH(AT$5,Mat_Type,0))*INDEX(Escalators!$I$44:$U$49,MATCH(AT$5,Escalators!$C$44:$C$49,0),MATCH(AT$6,Escalators!$I$43:$U$43,0)))</f>
        <v>0</v>
      </c>
      <c r="AU35" s="6">
        <f>IF($R35="",0,$J35*$AD35*INDEX(Act_Type_Repex_Splits,MATCH($I35,Act_Type_Repex,0),MATCH(AU$5,Mat_Type,0))*INDEX(Escalators!$I$44:$U$49,MATCH(AU$5,Escalators!$C$44:$C$49,0),MATCH(AU$6,Escalators!$I$43:$U$43,0)))</f>
        <v>0</v>
      </c>
      <c r="AV35" s="47">
        <f t="shared" si="17"/>
        <v>0</v>
      </c>
      <c r="AW35" s="47">
        <f>IF($R35="",0,$K35*$AD35*INDEX(Act_Type_Repex_Splits,MATCH($I35,Act_Type_Repex,0),MATCH(AW$5,Mat_Type,0))*INDEX(Escalators!$I$44:$U$49,MATCH(AW$5,Escalators!$C$44:$C$49,0),MATCH(AW$6,Escalators!$I$43:$U$43,0)))</f>
        <v>0</v>
      </c>
      <c r="AX35" s="47">
        <f>IF($R35="",0,$K35*$AD35*INDEX(Act_Type_Repex_Splits,MATCH($I35,Act_Type_Repex,0),MATCH(AX$5,Mat_Type,0))*INDEX(Escalators!$I$44:$U$49,MATCH(AX$5,Escalators!$C$44:$C$49,0),MATCH(AX$6,Escalators!$I$43:$U$43,0)))</f>
        <v>0</v>
      </c>
      <c r="AY35" s="47">
        <f>IF($R35="",0,$K35*$AD35*INDEX(Act_Type_Repex_Splits,MATCH($I35,Act_Type_Repex,0),MATCH(AY$5,Mat_Type,0))*INDEX(Escalators!$I$44:$U$49,MATCH(AY$5,Escalators!$C$44:$C$49,0),MATCH(AY$6,Escalators!$I$43:$U$43,0)))</f>
        <v>0</v>
      </c>
      <c r="AZ35" s="47">
        <f>IF($R35="",0,$K35*$AD35*INDEX(Act_Type_Repex_Splits,MATCH($I35,Act_Type_Repex,0),MATCH(AZ$5,Mat_Type,0))*INDEX(Escalators!$I$44:$U$49,MATCH(AZ$5,Escalators!$C$44:$C$49,0),MATCH(AZ$6,Escalators!$I$43:$U$43,0)))</f>
        <v>0</v>
      </c>
      <c r="BA35" s="47">
        <f>IF($R35="",0,$K35*$AD35*INDEX(Act_Type_Repex_Splits,MATCH($I35,Act_Type_Repex,0),MATCH(BA$5,Mat_Type,0))*INDEX(Escalators!$I$44:$U$49,MATCH(BA$5,Escalators!$C$44:$C$49,0),MATCH(BA$6,Escalators!$I$43:$U$43,0)))</f>
        <v>0</v>
      </c>
      <c r="BB35" s="47">
        <f t="shared" si="18"/>
        <v>0</v>
      </c>
      <c r="BC35" s="47">
        <f>IF($R35="",0,$L35*$AD35*INDEX(Act_Type_Repex_Splits,MATCH($I35,Act_Type_Repex,0),MATCH(BC$5,Mat_Type,0))*INDEX(Escalators!$I$44:$U$49,MATCH(BC$5,Escalators!$C$44:$C$49,0),MATCH(BC$6,Escalators!$I$43:$U$43,0)))</f>
        <v>0</v>
      </c>
      <c r="BD35" s="47">
        <f>IF($R35="",0,$L35*$AD35*INDEX(Act_Type_Repex_Splits,MATCH($I35,Act_Type_Repex,0),MATCH(BD$5,Mat_Type,0))*INDEX(Escalators!$I$44:$U$49,MATCH(BD$5,Escalators!$C$44:$C$49,0),MATCH(BD$6,Escalators!$I$43:$U$43,0)))</f>
        <v>0</v>
      </c>
      <c r="BE35" s="47">
        <f>IF($R35="",0,$L35*$AD35*INDEX(Act_Type_Repex_Splits,MATCH($I35,Act_Type_Repex,0),MATCH(BE$5,Mat_Type,0))*INDEX(Escalators!$I$44:$U$49,MATCH(BE$5,Escalators!$C$44:$C$49,0),MATCH(BE$6,Escalators!$I$43:$U$43,0)))</f>
        <v>0</v>
      </c>
      <c r="BF35" s="47">
        <f>IF($R35="",0,$L35*$AD35*INDEX(Act_Type_Repex_Splits,MATCH($I35,Act_Type_Repex,0),MATCH(BF$5,Mat_Type,0))*INDEX(Escalators!$I$44:$U$49,MATCH(BF$5,Escalators!$C$44:$C$49,0),MATCH(BF$6,Escalators!$I$43:$U$43,0)))</f>
        <v>0</v>
      </c>
      <c r="BG35" s="47">
        <f>IF($R35="",0,$L35*$AD35*INDEX(Act_Type_Repex_Splits,MATCH($I35,Act_Type_Repex,0),MATCH(BG$5,Mat_Type,0))*INDEX(Escalators!$I$44:$U$49,MATCH(BG$5,Escalators!$C$44:$C$49,0),MATCH(BG$6,Escalators!$I$43:$U$43,0)))</f>
        <v>0</v>
      </c>
      <c r="BH35" s="47">
        <f t="shared" si="19"/>
        <v>0</v>
      </c>
      <c r="BI35" s="47">
        <f>IF($R35="",0,$M35*$AD35*INDEX(Act_Type_Repex_Splits,MATCH($I35,Act_Type_Repex,0),MATCH(BI$5,Mat_Type,0))*INDEX(Escalators!$I$44:$U$49,MATCH(BI$5,Escalators!$C$44:$C$49,0),MATCH(BI$6,Escalators!$I$43:$U$43,0)))</f>
        <v>0</v>
      </c>
      <c r="BJ35" s="47">
        <f>IF($R35="",0,$M35*$AD35*INDEX(Act_Type_Repex_Splits,MATCH($I35,Act_Type_Repex,0),MATCH(BJ$5,Mat_Type,0))*INDEX(Escalators!$I$44:$U$49,MATCH(BJ$5,Escalators!$C$44:$C$49,0),MATCH(BJ$6,Escalators!$I$43:$U$43,0)))</f>
        <v>0</v>
      </c>
      <c r="BK35" s="47">
        <f>IF($R35="",0,$M35*$AD35*INDEX(Act_Type_Repex_Splits,MATCH($I35,Act_Type_Repex,0),MATCH(BK$5,Mat_Type,0))*INDEX(Escalators!$I$44:$U$49,MATCH(BK$5,Escalators!$C$44:$C$49,0),MATCH(BK$6,Escalators!$I$43:$U$43,0)))</f>
        <v>0</v>
      </c>
      <c r="BL35" s="47">
        <f>IF($R35="",0,$M35*$AD35*INDEX(Act_Type_Repex_Splits,MATCH($I35,Act_Type_Repex,0),MATCH(BL$5,Mat_Type,0))*INDEX(Escalators!$I$44:$U$49,MATCH(BL$5,Escalators!$C$44:$C$49,0),MATCH(BL$6,Escalators!$I$43:$U$43,0)))</f>
        <v>0</v>
      </c>
      <c r="BM35" s="47">
        <f>IF($R35="",0,$M35*$AD35*INDEX(Act_Type_Repex_Splits,MATCH($I35,Act_Type_Repex,0),MATCH(BM$5,Mat_Type,0))*INDEX(Escalators!$I$44:$U$49,MATCH(BM$5,Escalators!$C$44:$C$49,0),MATCH(BM$6,Escalators!$I$43:$U$43,0)))</f>
        <v>0</v>
      </c>
      <c r="BN35" s="47">
        <f t="shared" si="20"/>
        <v>0</v>
      </c>
      <c r="BO35" s="47">
        <f>IF($R35="",0,$N35*$AD35*INDEX(Act_Type_Repex_Splits,MATCH($I35,Act_Type_Repex,0),MATCH(BO$5,Mat_Type,0))*INDEX(Escalators!$I$44:$U$49,MATCH(BO$5,Escalators!$C$44:$C$49,0),MATCH(BO$6,Escalators!$I$43:$U$43,0)))</f>
        <v>0</v>
      </c>
      <c r="BP35" s="47">
        <f>IF($R35="",0,$N35*$AD35*INDEX(Act_Type_Repex_Splits,MATCH($I35,Act_Type_Repex,0),MATCH(BP$5,Mat_Type,0))*INDEX(Escalators!$I$44:$U$49,MATCH(BP$5,Escalators!$C$44:$C$49,0),MATCH(BP$6,Escalators!$I$43:$U$43,0)))</f>
        <v>0</v>
      </c>
      <c r="BQ35" s="47">
        <f>IF($R35="",0,$N35*$AD35*INDEX(Act_Type_Repex_Splits,MATCH($I35,Act_Type_Repex,0),MATCH(BQ$5,Mat_Type,0))*INDEX(Escalators!$I$44:$U$49,MATCH(BQ$5,Escalators!$C$44:$C$49,0),MATCH(BQ$6,Escalators!$I$43:$U$43,0)))</f>
        <v>0</v>
      </c>
      <c r="BR35" s="47">
        <f>IF($R35="",0,$N35*$AD35*INDEX(Act_Type_Repex_Splits,MATCH($I35,Act_Type_Repex,0),MATCH(BR$5,Mat_Type,0))*INDEX(Escalators!$I$44:$U$49,MATCH(BR$5,Escalators!$C$44:$C$49,0),MATCH(BR$6,Escalators!$I$43:$U$43,0)))</f>
        <v>0</v>
      </c>
      <c r="BS35" s="47">
        <f>IF($R35="",0,$N35*$AD35*INDEX(Act_Type_Repex_Splits,MATCH($I35,Act_Type_Repex,0),MATCH(BS$5,Mat_Type,0))*INDEX(Escalators!$I$44:$U$49,MATCH(BS$5,Escalators!$C$44:$C$49,0),MATCH(BS$6,Escalators!$I$43:$U$43,0)))</f>
        <v>0</v>
      </c>
      <c r="BT35" s="47">
        <f t="shared" si="21"/>
        <v>0</v>
      </c>
      <c r="BU35" s="47">
        <f>IF($R35="",0,$O35*$AD35*INDEX(Act_Type_Repex_Splits,MATCH($I35,Act_Type_Repex,0),MATCH(BU$5,Mat_Type,0))*INDEX(Escalators!$I$44:$U$49,MATCH(BU$5,Escalators!$C$44:$C$49,0),MATCH(BU$6,Escalators!$I$43:$U$43,0)))</f>
        <v>0</v>
      </c>
      <c r="BV35" s="47">
        <f>IF($R35="",0,$O35*$AD35*INDEX(Act_Type_Repex_Splits,MATCH($I35,Act_Type_Repex,0),MATCH(BV$5,Mat_Type,0))*INDEX(Escalators!$I$44:$U$49,MATCH(BV$5,Escalators!$C$44:$C$49,0),MATCH(BV$6,Escalators!$I$43:$U$43,0)))</f>
        <v>0</v>
      </c>
      <c r="BW35" s="47">
        <f>IF($R35="",0,$O35*$AD35*INDEX(Act_Type_Repex_Splits,MATCH($I35,Act_Type_Repex,0),MATCH(BW$5,Mat_Type,0))*INDEX(Escalators!$I$44:$U$49,MATCH(BW$5,Escalators!$C$44:$C$49,0),MATCH(BW$6,Escalators!$I$43:$U$43,0)))</f>
        <v>0</v>
      </c>
      <c r="BX35" s="47">
        <f>IF($R35="",0,$O35*$AD35*INDEX(Act_Type_Repex_Splits,MATCH($I35,Act_Type_Repex,0),MATCH(BX$5,Mat_Type,0))*INDEX(Escalators!$I$44:$U$49,MATCH(BX$5,Escalators!$C$44:$C$49,0),MATCH(BX$6,Escalators!$I$43:$U$43,0)))</f>
        <v>0</v>
      </c>
      <c r="BY35" s="47">
        <f>IF($R35="",0,$O35*$AD35*INDEX(Act_Type_Repex_Splits,MATCH($I35,Act_Type_Repex,0),MATCH(BY$5,Mat_Type,0))*INDEX(Escalators!$I$44:$U$49,MATCH(BY$5,Escalators!$C$44:$C$49,0),MATCH(BY$6,Escalators!$I$43:$U$43,0)))</f>
        <v>0</v>
      </c>
      <c r="BZ35" s="47">
        <f t="shared" si="22"/>
        <v>0</v>
      </c>
      <c r="CA35" s="47">
        <f>IF($R35="",0,$P35*$AD35*INDEX(Act_Type_Repex_Splits,MATCH($I35,Act_Type_Repex,0),MATCH(CA$5,Mat_Type,0))*INDEX(Escalators!$I$44:$U$49,MATCH(CA$5,Escalators!$C$44:$C$49,0),MATCH(CA$6,Escalators!$I$43:$U$43,0)))</f>
        <v>0</v>
      </c>
      <c r="CB35" s="47">
        <f>IF($R35="",0,$P35*$AD35*INDEX(Act_Type_Repex_Splits,MATCH($I35,Act_Type_Repex,0),MATCH(CB$5,Mat_Type,0))*INDEX(Escalators!$I$44:$U$49,MATCH(CB$5,Escalators!$C$44:$C$49,0),MATCH(CB$6,Escalators!$I$43:$U$43,0)))</f>
        <v>0</v>
      </c>
      <c r="CC35" s="47">
        <f>IF($R35="",0,$P35*$AD35*INDEX(Act_Type_Repex_Splits,MATCH($I35,Act_Type_Repex,0),MATCH(CC$5,Mat_Type,0))*INDEX(Escalators!$I$44:$U$49,MATCH(CC$5,Escalators!$C$44:$C$49,0),MATCH(CC$6,Escalators!$I$43:$U$43,0)))</f>
        <v>0</v>
      </c>
      <c r="CD35" s="47">
        <f>IF($R35="",0,$P35*$AD35*INDEX(Act_Type_Repex_Splits,MATCH($I35,Act_Type_Repex,0),MATCH(CD$5,Mat_Type,0))*INDEX(Escalators!$I$44:$U$49,MATCH(CD$5,Escalators!$C$44:$C$49,0),MATCH(CD$6,Escalators!$I$43:$U$43,0)))</f>
        <v>0</v>
      </c>
      <c r="CE35" s="47">
        <f>IF($R35="",0,$P35*$AD35*INDEX(Act_Type_Repex_Splits,MATCH($I35,Act_Type_Repex,0),MATCH(CE$5,Mat_Type,0))*INDEX(Escalators!$I$44:$U$49,MATCH(CE$5,Escalators!$C$44:$C$49,0),MATCH(CE$6,Escalators!$I$43:$U$43,0)))</f>
        <v>0</v>
      </c>
      <c r="CF35" s="47">
        <f t="shared" si="23"/>
        <v>0</v>
      </c>
      <c r="CG35" s="47">
        <f>IF($R35="",0,$Q35*$AD35*INDEX(Act_Type_Repex_Splits,MATCH($I35,Act_Type_Repex,0),MATCH(CG$5,Mat_Type,0))*INDEX(Escalators!$I$44:$U$49,MATCH(CG$5,Escalators!$C$44:$C$49,0),MATCH(CG$6,Escalators!$I$43:$U$43,0)))</f>
        <v>0</v>
      </c>
      <c r="CH35" s="47">
        <f>IF($R35="",0,$Q35*$AD35*INDEX(Act_Type_Repex_Splits,MATCH($I35,Act_Type_Repex,0),MATCH(CH$5,Mat_Type,0))*INDEX(Escalators!$I$44:$U$49,MATCH(CH$5,Escalators!$C$44:$C$49,0),MATCH(CH$6,Escalators!$I$43:$U$43,0)))</f>
        <v>0</v>
      </c>
      <c r="CI35" s="47">
        <f>IF($R35="",0,$Q35*$AD35*INDEX(Act_Type_Repex_Splits,MATCH($I35,Act_Type_Repex,0),MATCH(CI$5,Mat_Type,0))*INDEX(Escalators!$I$44:$U$49,MATCH(CI$5,Escalators!$C$44:$C$49,0),MATCH(CI$6,Escalators!$I$43:$U$43,0)))</f>
        <v>0</v>
      </c>
      <c r="CJ35" s="47">
        <f>IF($R35="",0,$Q35*$AD35*INDEX(Act_Type_Repex_Splits,MATCH($I35,Act_Type_Repex,0),MATCH(CJ$5,Mat_Type,0))*INDEX(Escalators!$I$44:$U$49,MATCH(CJ$5,Escalators!$C$44:$C$49,0),MATCH(CJ$6,Escalators!$I$43:$U$43,0)))</f>
        <v>0</v>
      </c>
      <c r="CK35" s="47">
        <f>IF($R35="",0,$Q35*$AD35*INDEX(Act_Type_Repex_Splits,MATCH($I35,Act_Type_Repex,0),MATCH(CK$5,Mat_Type,0))*INDEX(Escalators!$I$44:$U$49,MATCH(CK$5,Escalators!$C$44:$C$49,0),MATCH(CK$6,Escalators!$I$43:$U$43,0)))</f>
        <v>0</v>
      </c>
      <c r="CL35" s="47">
        <f t="shared" si="24"/>
        <v>0</v>
      </c>
      <c r="CN35" s="47">
        <f>IF($R35="",0,J35*$AE35*HLOOKUP(CN$6,Escalators!$I$25:$U$30,6,FALSE))</f>
        <v>0</v>
      </c>
      <c r="CO35" s="47">
        <f>IF($R35="",0,K35*$AE35*HLOOKUP(CO$6,Escalators!$I$25:$U$30,6,FALSE))</f>
        <v>0</v>
      </c>
      <c r="CP35" s="47">
        <f>IF($R35="",0,L35*$AE35*HLOOKUP(CP$6,Escalators!$I$25:$U$30,6,FALSE))</f>
        <v>0</v>
      </c>
      <c r="CQ35" s="47">
        <f>IF($R35="",0,M35*$AE35*HLOOKUP(CQ$6,Escalators!$I$25:$U$30,6,FALSE))</f>
        <v>0</v>
      </c>
      <c r="CR35" s="47">
        <f>IF($R35="",0,N35*$AE35*HLOOKUP(CR$6,Escalators!$I$25:$U$30,6,FALSE))</f>
        <v>0</v>
      </c>
      <c r="CS35" s="47">
        <f>IF($R35="",0,O35*$AE35*HLOOKUP(CS$6,Escalators!$I$25:$U$30,6,FALSE))</f>
        <v>0</v>
      </c>
      <c r="CT35" s="47">
        <f>IF($R35="",0,P35*$AE35*HLOOKUP(CT$6,Escalators!$I$25:$U$30,6,FALSE))</f>
        <v>0</v>
      </c>
      <c r="CU35" s="47">
        <f>IF($R35="",0,Q35*$AE35*HLOOKUP(CU$6,Escalators!$I$25:$U$30,6,FALSE))</f>
        <v>0</v>
      </c>
      <c r="CW35" s="83">
        <f t="shared" si="25"/>
        <v>0</v>
      </c>
      <c r="CX35" s="83">
        <f t="shared" si="26"/>
        <v>0</v>
      </c>
      <c r="CY35" s="83">
        <f t="shared" si="27"/>
        <v>0</v>
      </c>
      <c r="CZ35" s="83">
        <f t="shared" si="28"/>
        <v>0</v>
      </c>
      <c r="DA35" s="83">
        <f t="shared" si="29"/>
        <v>0</v>
      </c>
      <c r="DB35" s="83">
        <f t="shared" si="30"/>
        <v>0</v>
      </c>
      <c r="DC35" s="83">
        <f t="shared" si="31"/>
        <v>0</v>
      </c>
      <c r="DD35" s="83">
        <f t="shared" si="32"/>
        <v>0</v>
      </c>
      <c r="DF35" s="47">
        <f t="shared" si="33"/>
        <v>0</v>
      </c>
      <c r="DG35" s="47">
        <f t="shared" si="34"/>
        <v>0</v>
      </c>
      <c r="DH35" s="47">
        <f t="shared" si="35"/>
        <v>0</v>
      </c>
      <c r="DI35" s="47">
        <f t="shared" si="36"/>
        <v>0</v>
      </c>
      <c r="DJ35" s="47">
        <f t="shared" si="37"/>
        <v>0</v>
      </c>
      <c r="DK35" s="47">
        <f t="shared" si="38"/>
        <v>0</v>
      </c>
      <c r="DL35" s="47">
        <f t="shared" si="39"/>
        <v>0</v>
      </c>
      <c r="DM35" s="47">
        <f t="shared" si="40"/>
        <v>0</v>
      </c>
      <c r="DO35" s="39"/>
    </row>
    <row r="36" spans="2:119" x14ac:dyDescent="0.3">
      <c r="B36" s="7"/>
      <c r="C36" s="7"/>
      <c r="D36" s="7"/>
      <c r="E36" s="7"/>
      <c r="F36" s="7"/>
      <c r="G36" s="7"/>
      <c r="H36" s="7"/>
      <c r="I36" s="7"/>
      <c r="J36" s="7"/>
      <c r="K36" s="7"/>
      <c r="L36" s="7"/>
      <c r="M36" s="7"/>
      <c r="N36" s="7"/>
      <c r="O36" s="7"/>
      <c r="P36" s="7"/>
      <c r="Q36" s="7"/>
      <c r="R36" s="46"/>
      <c r="T36" s="47">
        <f t="shared" si="8"/>
        <v>0</v>
      </c>
      <c r="U36" s="47">
        <f t="shared" si="9"/>
        <v>0</v>
      </c>
      <c r="V36" s="47">
        <f t="shared" si="10"/>
        <v>0</v>
      </c>
      <c r="W36" s="47">
        <f t="shared" si="11"/>
        <v>0</v>
      </c>
      <c r="X36" s="47">
        <f t="shared" si="12"/>
        <v>0</v>
      </c>
      <c r="Y36" s="47">
        <f t="shared" si="13"/>
        <v>0</v>
      </c>
      <c r="Z36" s="47">
        <f t="shared" si="14"/>
        <v>0</v>
      </c>
      <c r="AA36" s="47">
        <f t="shared" si="15"/>
        <v>0</v>
      </c>
      <c r="AC36" s="83">
        <f t="shared" si="16"/>
        <v>0</v>
      </c>
      <c r="AD36" s="83">
        <f t="shared" si="16"/>
        <v>0</v>
      </c>
      <c r="AE36" s="83">
        <f t="shared" si="16"/>
        <v>0</v>
      </c>
      <c r="AF36" s="83">
        <f t="shared" si="16"/>
        <v>0</v>
      </c>
      <c r="AH36" s="47">
        <f>IF($R36="",0,J36*$AC36*HLOOKUP(AH$6,Escalators!$I$25:$U$30,3,FALSE))</f>
        <v>0</v>
      </c>
      <c r="AI36" s="47">
        <f>IF($R36="",0,K36*$AC36*HLOOKUP(AI$6,Escalators!$I$25:$U$30,3,FALSE))</f>
        <v>0</v>
      </c>
      <c r="AJ36" s="47">
        <f>IF($R36="",0,L36*$AC36*HLOOKUP(AJ$6,Escalators!$I$25:$U$30,3,FALSE))</f>
        <v>0</v>
      </c>
      <c r="AK36" s="47">
        <f>IF($R36="",0,M36*$AC36*HLOOKUP(AK$6,Escalators!$I$25:$U$30,3,FALSE))</f>
        <v>0</v>
      </c>
      <c r="AL36" s="47">
        <f>IF($R36="",0,N36*$AC36*HLOOKUP(AL$6,Escalators!$I$25:$U$30,3,FALSE))</f>
        <v>0</v>
      </c>
      <c r="AM36" s="47">
        <f>IF($R36="",0,O36*$AC36*HLOOKUP(AM$6,Escalators!$I$25:$U$30,3,FALSE))</f>
        <v>0</v>
      </c>
      <c r="AN36" s="47">
        <f>IF($R36="",0,P36*$AC36*HLOOKUP(AN$6,Escalators!$I$25:$U$30,3,FALSE))</f>
        <v>0</v>
      </c>
      <c r="AO36" s="47">
        <f>IF($R36="",0,Q36*$AC36*HLOOKUP(AO$6,Escalators!$I$25:$U$30,3,FALSE))</f>
        <v>0</v>
      </c>
      <c r="AQ36" s="6">
        <f>IF($R36="",0,$J36*$AD36*INDEX(Act_Type_Repex_Splits,MATCH($I36,Act_Type_Repex,0),MATCH(AQ$5,Mat_Type,0))*INDEX(Escalators!$I$44:$U$49,MATCH(AQ$5,Escalators!$C$44:$C$49,0),MATCH(AQ$6,Escalators!$I$43:$U$43,0)))</f>
        <v>0</v>
      </c>
      <c r="AR36" s="6">
        <f>IF($R36="",0,$J36*$AD36*INDEX(Act_Type_Repex_Splits,MATCH($I36,Act_Type_Repex,0),MATCH(AR$5,Mat_Type,0))*INDEX(Escalators!$I$44:$U$49,MATCH(AR$5,Escalators!$C$44:$C$49,0),MATCH(AR$6,Escalators!$I$43:$U$43,0)))</f>
        <v>0</v>
      </c>
      <c r="AS36" s="6">
        <f>IF($R36="",0,$J36*$AD36*INDEX(Act_Type_Repex_Splits,MATCH($I36,Act_Type_Repex,0),MATCH(AS$5,Mat_Type,0))*INDEX(Escalators!$I$44:$U$49,MATCH(AS$5,Escalators!$C$44:$C$49,0),MATCH(AS$6,Escalators!$I$43:$U$43,0)))</f>
        <v>0</v>
      </c>
      <c r="AT36" s="6">
        <f>IF($R36="",0,$J36*$AD36*INDEX(Act_Type_Repex_Splits,MATCH($I36,Act_Type_Repex,0),MATCH(AT$5,Mat_Type,0))*INDEX(Escalators!$I$44:$U$49,MATCH(AT$5,Escalators!$C$44:$C$49,0),MATCH(AT$6,Escalators!$I$43:$U$43,0)))</f>
        <v>0</v>
      </c>
      <c r="AU36" s="6">
        <f>IF($R36="",0,$J36*$AD36*INDEX(Act_Type_Repex_Splits,MATCH($I36,Act_Type_Repex,0),MATCH(AU$5,Mat_Type,0))*INDEX(Escalators!$I$44:$U$49,MATCH(AU$5,Escalators!$C$44:$C$49,0),MATCH(AU$6,Escalators!$I$43:$U$43,0)))</f>
        <v>0</v>
      </c>
      <c r="AV36" s="47">
        <f t="shared" si="17"/>
        <v>0</v>
      </c>
      <c r="AW36" s="47">
        <f>IF($R36="",0,$K36*$AD36*INDEX(Act_Type_Repex_Splits,MATCH($I36,Act_Type_Repex,0),MATCH(AW$5,Mat_Type,0))*INDEX(Escalators!$I$44:$U$49,MATCH(AW$5,Escalators!$C$44:$C$49,0),MATCH(AW$6,Escalators!$I$43:$U$43,0)))</f>
        <v>0</v>
      </c>
      <c r="AX36" s="47">
        <f>IF($R36="",0,$K36*$AD36*INDEX(Act_Type_Repex_Splits,MATCH($I36,Act_Type_Repex,0),MATCH(AX$5,Mat_Type,0))*INDEX(Escalators!$I$44:$U$49,MATCH(AX$5,Escalators!$C$44:$C$49,0),MATCH(AX$6,Escalators!$I$43:$U$43,0)))</f>
        <v>0</v>
      </c>
      <c r="AY36" s="47">
        <f>IF($R36="",0,$K36*$AD36*INDEX(Act_Type_Repex_Splits,MATCH($I36,Act_Type_Repex,0),MATCH(AY$5,Mat_Type,0))*INDEX(Escalators!$I$44:$U$49,MATCH(AY$5,Escalators!$C$44:$C$49,0),MATCH(AY$6,Escalators!$I$43:$U$43,0)))</f>
        <v>0</v>
      </c>
      <c r="AZ36" s="47">
        <f>IF($R36="",0,$K36*$AD36*INDEX(Act_Type_Repex_Splits,MATCH($I36,Act_Type_Repex,0),MATCH(AZ$5,Mat_Type,0))*INDEX(Escalators!$I$44:$U$49,MATCH(AZ$5,Escalators!$C$44:$C$49,0),MATCH(AZ$6,Escalators!$I$43:$U$43,0)))</f>
        <v>0</v>
      </c>
      <c r="BA36" s="47">
        <f>IF($R36="",0,$K36*$AD36*INDEX(Act_Type_Repex_Splits,MATCH($I36,Act_Type_Repex,0),MATCH(BA$5,Mat_Type,0))*INDEX(Escalators!$I$44:$U$49,MATCH(BA$5,Escalators!$C$44:$C$49,0),MATCH(BA$6,Escalators!$I$43:$U$43,0)))</f>
        <v>0</v>
      </c>
      <c r="BB36" s="47">
        <f t="shared" si="18"/>
        <v>0</v>
      </c>
      <c r="BC36" s="47">
        <f>IF($R36="",0,$L36*$AD36*INDEX(Act_Type_Repex_Splits,MATCH($I36,Act_Type_Repex,0),MATCH(BC$5,Mat_Type,0))*INDEX(Escalators!$I$44:$U$49,MATCH(BC$5,Escalators!$C$44:$C$49,0),MATCH(BC$6,Escalators!$I$43:$U$43,0)))</f>
        <v>0</v>
      </c>
      <c r="BD36" s="47">
        <f>IF($R36="",0,$L36*$AD36*INDEX(Act_Type_Repex_Splits,MATCH($I36,Act_Type_Repex,0),MATCH(BD$5,Mat_Type,0))*INDEX(Escalators!$I$44:$U$49,MATCH(BD$5,Escalators!$C$44:$C$49,0),MATCH(BD$6,Escalators!$I$43:$U$43,0)))</f>
        <v>0</v>
      </c>
      <c r="BE36" s="47">
        <f>IF($R36="",0,$L36*$AD36*INDEX(Act_Type_Repex_Splits,MATCH($I36,Act_Type_Repex,0),MATCH(BE$5,Mat_Type,0))*INDEX(Escalators!$I$44:$U$49,MATCH(BE$5,Escalators!$C$44:$C$49,0),MATCH(BE$6,Escalators!$I$43:$U$43,0)))</f>
        <v>0</v>
      </c>
      <c r="BF36" s="47">
        <f>IF($R36="",0,$L36*$AD36*INDEX(Act_Type_Repex_Splits,MATCH($I36,Act_Type_Repex,0),MATCH(BF$5,Mat_Type,0))*INDEX(Escalators!$I$44:$U$49,MATCH(BF$5,Escalators!$C$44:$C$49,0),MATCH(BF$6,Escalators!$I$43:$U$43,0)))</f>
        <v>0</v>
      </c>
      <c r="BG36" s="47">
        <f>IF($R36="",0,$L36*$AD36*INDEX(Act_Type_Repex_Splits,MATCH($I36,Act_Type_Repex,0),MATCH(BG$5,Mat_Type,0))*INDEX(Escalators!$I$44:$U$49,MATCH(BG$5,Escalators!$C$44:$C$49,0),MATCH(BG$6,Escalators!$I$43:$U$43,0)))</f>
        <v>0</v>
      </c>
      <c r="BH36" s="47">
        <f t="shared" si="19"/>
        <v>0</v>
      </c>
      <c r="BI36" s="47">
        <f>IF($R36="",0,$M36*$AD36*INDEX(Act_Type_Repex_Splits,MATCH($I36,Act_Type_Repex,0),MATCH(BI$5,Mat_Type,0))*INDEX(Escalators!$I$44:$U$49,MATCH(BI$5,Escalators!$C$44:$C$49,0),MATCH(BI$6,Escalators!$I$43:$U$43,0)))</f>
        <v>0</v>
      </c>
      <c r="BJ36" s="47">
        <f>IF($R36="",0,$M36*$AD36*INDEX(Act_Type_Repex_Splits,MATCH($I36,Act_Type_Repex,0),MATCH(BJ$5,Mat_Type,0))*INDEX(Escalators!$I$44:$U$49,MATCH(BJ$5,Escalators!$C$44:$C$49,0),MATCH(BJ$6,Escalators!$I$43:$U$43,0)))</f>
        <v>0</v>
      </c>
      <c r="BK36" s="47">
        <f>IF($R36="",0,$M36*$AD36*INDEX(Act_Type_Repex_Splits,MATCH($I36,Act_Type_Repex,0),MATCH(BK$5,Mat_Type,0))*INDEX(Escalators!$I$44:$U$49,MATCH(BK$5,Escalators!$C$44:$C$49,0),MATCH(BK$6,Escalators!$I$43:$U$43,0)))</f>
        <v>0</v>
      </c>
      <c r="BL36" s="47">
        <f>IF($R36="",0,$M36*$AD36*INDEX(Act_Type_Repex_Splits,MATCH($I36,Act_Type_Repex,0),MATCH(BL$5,Mat_Type,0))*INDEX(Escalators!$I$44:$U$49,MATCH(BL$5,Escalators!$C$44:$C$49,0),MATCH(BL$6,Escalators!$I$43:$U$43,0)))</f>
        <v>0</v>
      </c>
      <c r="BM36" s="47">
        <f>IF($R36="",0,$M36*$AD36*INDEX(Act_Type_Repex_Splits,MATCH($I36,Act_Type_Repex,0),MATCH(BM$5,Mat_Type,0))*INDEX(Escalators!$I$44:$U$49,MATCH(BM$5,Escalators!$C$44:$C$49,0),MATCH(BM$6,Escalators!$I$43:$U$43,0)))</f>
        <v>0</v>
      </c>
      <c r="BN36" s="47">
        <f t="shared" si="20"/>
        <v>0</v>
      </c>
      <c r="BO36" s="47">
        <f>IF($R36="",0,$N36*$AD36*INDEX(Act_Type_Repex_Splits,MATCH($I36,Act_Type_Repex,0),MATCH(BO$5,Mat_Type,0))*INDEX(Escalators!$I$44:$U$49,MATCH(BO$5,Escalators!$C$44:$C$49,0),MATCH(BO$6,Escalators!$I$43:$U$43,0)))</f>
        <v>0</v>
      </c>
      <c r="BP36" s="47">
        <f>IF($R36="",0,$N36*$AD36*INDEX(Act_Type_Repex_Splits,MATCH($I36,Act_Type_Repex,0),MATCH(BP$5,Mat_Type,0))*INDEX(Escalators!$I$44:$U$49,MATCH(BP$5,Escalators!$C$44:$C$49,0),MATCH(BP$6,Escalators!$I$43:$U$43,0)))</f>
        <v>0</v>
      </c>
      <c r="BQ36" s="47">
        <f>IF($R36="",0,$N36*$AD36*INDEX(Act_Type_Repex_Splits,MATCH($I36,Act_Type_Repex,0),MATCH(BQ$5,Mat_Type,0))*INDEX(Escalators!$I$44:$U$49,MATCH(BQ$5,Escalators!$C$44:$C$49,0),MATCH(BQ$6,Escalators!$I$43:$U$43,0)))</f>
        <v>0</v>
      </c>
      <c r="BR36" s="47">
        <f>IF($R36="",0,$N36*$AD36*INDEX(Act_Type_Repex_Splits,MATCH($I36,Act_Type_Repex,0),MATCH(BR$5,Mat_Type,0))*INDEX(Escalators!$I$44:$U$49,MATCH(BR$5,Escalators!$C$44:$C$49,0),MATCH(BR$6,Escalators!$I$43:$U$43,0)))</f>
        <v>0</v>
      </c>
      <c r="BS36" s="47">
        <f>IF($R36="",0,$N36*$AD36*INDEX(Act_Type_Repex_Splits,MATCH($I36,Act_Type_Repex,0),MATCH(BS$5,Mat_Type,0))*INDEX(Escalators!$I$44:$U$49,MATCH(BS$5,Escalators!$C$44:$C$49,0),MATCH(BS$6,Escalators!$I$43:$U$43,0)))</f>
        <v>0</v>
      </c>
      <c r="BT36" s="47">
        <f t="shared" si="21"/>
        <v>0</v>
      </c>
      <c r="BU36" s="47">
        <f>IF($R36="",0,$O36*$AD36*INDEX(Act_Type_Repex_Splits,MATCH($I36,Act_Type_Repex,0),MATCH(BU$5,Mat_Type,0))*INDEX(Escalators!$I$44:$U$49,MATCH(BU$5,Escalators!$C$44:$C$49,0),MATCH(BU$6,Escalators!$I$43:$U$43,0)))</f>
        <v>0</v>
      </c>
      <c r="BV36" s="47">
        <f>IF($R36="",0,$O36*$AD36*INDEX(Act_Type_Repex_Splits,MATCH($I36,Act_Type_Repex,0),MATCH(BV$5,Mat_Type,0))*INDEX(Escalators!$I$44:$U$49,MATCH(BV$5,Escalators!$C$44:$C$49,0),MATCH(BV$6,Escalators!$I$43:$U$43,0)))</f>
        <v>0</v>
      </c>
      <c r="BW36" s="47">
        <f>IF($R36="",0,$O36*$AD36*INDEX(Act_Type_Repex_Splits,MATCH($I36,Act_Type_Repex,0),MATCH(BW$5,Mat_Type,0))*INDEX(Escalators!$I$44:$U$49,MATCH(BW$5,Escalators!$C$44:$C$49,0),MATCH(BW$6,Escalators!$I$43:$U$43,0)))</f>
        <v>0</v>
      </c>
      <c r="BX36" s="47">
        <f>IF($R36="",0,$O36*$AD36*INDEX(Act_Type_Repex_Splits,MATCH($I36,Act_Type_Repex,0),MATCH(BX$5,Mat_Type,0))*INDEX(Escalators!$I$44:$U$49,MATCH(BX$5,Escalators!$C$44:$C$49,0),MATCH(BX$6,Escalators!$I$43:$U$43,0)))</f>
        <v>0</v>
      </c>
      <c r="BY36" s="47">
        <f>IF($R36="",0,$O36*$AD36*INDEX(Act_Type_Repex_Splits,MATCH($I36,Act_Type_Repex,0),MATCH(BY$5,Mat_Type,0))*INDEX(Escalators!$I$44:$U$49,MATCH(BY$5,Escalators!$C$44:$C$49,0),MATCH(BY$6,Escalators!$I$43:$U$43,0)))</f>
        <v>0</v>
      </c>
      <c r="BZ36" s="47">
        <f t="shared" si="22"/>
        <v>0</v>
      </c>
      <c r="CA36" s="47">
        <f>IF($R36="",0,$P36*$AD36*INDEX(Act_Type_Repex_Splits,MATCH($I36,Act_Type_Repex,0),MATCH(CA$5,Mat_Type,0))*INDEX(Escalators!$I$44:$U$49,MATCH(CA$5,Escalators!$C$44:$C$49,0),MATCH(CA$6,Escalators!$I$43:$U$43,0)))</f>
        <v>0</v>
      </c>
      <c r="CB36" s="47">
        <f>IF($R36="",0,$P36*$AD36*INDEX(Act_Type_Repex_Splits,MATCH($I36,Act_Type_Repex,0),MATCH(CB$5,Mat_Type,0))*INDEX(Escalators!$I$44:$U$49,MATCH(CB$5,Escalators!$C$44:$C$49,0),MATCH(CB$6,Escalators!$I$43:$U$43,0)))</f>
        <v>0</v>
      </c>
      <c r="CC36" s="47">
        <f>IF($R36="",0,$P36*$AD36*INDEX(Act_Type_Repex_Splits,MATCH($I36,Act_Type_Repex,0),MATCH(CC$5,Mat_Type,0))*INDEX(Escalators!$I$44:$U$49,MATCH(CC$5,Escalators!$C$44:$C$49,0),MATCH(CC$6,Escalators!$I$43:$U$43,0)))</f>
        <v>0</v>
      </c>
      <c r="CD36" s="47">
        <f>IF($R36="",0,$P36*$AD36*INDEX(Act_Type_Repex_Splits,MATCH($I36,Act_Type_Repex,0),MATCH(CD$5,Mat_Type,0))*INDEX(Escalators!$I$44:$U$49,MATCH(CD$5,Escalators!$C$44:$C$49,0),MATCH(CD$6,Escalators!$I$43:$U$43,0)))</f>
        <v>0</v>
      </c>
      <c r="CE36" s="47">
        <f>IF($R36="",0,$P36*$AD36*INDEX(Act_Type_Repex_Splits,MATCH($I36,Act_Type_Repex,0),MATCH(CE$5,Mat_Type,0))*INDEX(Escalators!$I$44:$U$49,MATCH(CE$5,Escalators!$C$44:$C$49,0),MATCH(CE$6,Escalators!$I$43:$U$43,0)))</f>
        <v>0</v>
      </c>
      <c r="CF36" s="47">
        <f t="shared" si="23"/>
        <v>0</v>
      </c>
      <c r="CG36" s="47">
        <f>IF($R36="",0,$Q36*$AD36*INDEX(Act_Type_Repex_Splits,MATCH($I36,Act_Type_Repex,0),MATCH(CG$5,Mat_Type,0))*INDEX(Escalators!$I$44:$U$49,MATCH(CG$5,Escalators!$C$44:$C$49,0),MATCH(CG$6,Escalators!$I$43:$U$43,0)))</f>
        <v>0</v>
      </c>
      <c r="CH36" s="47">
        <f>IF($R36="",0,$Q36*$AD36*INDEX(Act_Type_Repex_Splits,MATCH($I36,Act_Type_Repex,0),MATCH(CH$5,Mat_Type,0))*INDEX(Escalators!$I$44:$U$49,MATCH(CH$5,Escalators!$C$44:$C$49,0),MATCH(CH$6,Escalators!$I$43:$U$43,0)))</f>
        <v>0</v>
      </c>
      <c r="CI36" s="47">
        <f>IF($R36="",0,$Q36*$AD36*INDEX(Act_Type_Repex_Splits,MATCH($I36,Act_Type_Repex,0),MATCH(CI$5,Mat_Type,0))*INDEX(Escalators!$I$44:$U$49,MATCH(CI$5,Escalators!$C$44:$C$49,0),MATCH(CI$6,Escalators!$I$43:$U$43,0)))</f>
        <v>0</v>
      </c>
      <c r="CJ36" s="47">
        <f>IF($R36="",0,$Q36*$AD36*INDEX(Act_Type_Repex_Splits,MATCH($I36,Act_Type_Repex,0),MATCH(CJ$5,Mat_Type,0))*INDEX(Escalators!$I$44:$U$49,MATCH(CJ$5,Escalators!$C$44:$C$49,0),MATCH(CJ$6,Escalators!$I$43:$U$43,0)))</f>
        <v>0</v>
      </c>
      <c r="CK36" s="47">
        <f>IF($R36="",0,$Q36*$AD36*INDEX(Act_Type_Repex_Splits,MATCH($I36,Act_Type_Repex,0),MATCH(CK$5,Mat_Type,0))*INDEX(Escalators!$I$44:$U$49,MATCH(CK$5,Escalators!$C$44:$C$49,0),MATCH(CK$6,Escalators!$I$43:$U$43,0)))</f>
        <v>0</v>
      </c>
      <c r="CL36" s="47">
        <f t="shared" si="24"/>
        <v>0</v>
      </c>
      <c r="CN36" s="47">
        <f>IF($R36="",0,J36*$AE36*HLOOKUP(CN$6,Escalators!$I$25:$U$30,6,FALSE))</f>
        <v>0</v>
      </c>
      <c r="CO36" s="47">
        <f>IF($R36="",0,K36*$AE36*HLOOKUP(CO$6,Escalators!$I$25:$U$30,6,FALSE))</f>
        <v>0</v>
      </c>
      <c r="CP36" s="47">
        <f>IF($R36="",0,L36*$AE36*HLOOKUP(CP$6,Escalators!$I$25:$U$30,6,FALSE))</f>
        <v>0</v>
      </c>
      <c r="CQ36" s="47">
        <f>IF($R36="",0,M36*$AE36*HLOOKUP(CQ$6,Escalators!$I$25:$U$30,6,FALSE))</f>
        <v>0</v>
      </c>
      <c r="CR36" s="47">
        <f>IF($R36="",0,N36*$AE36*HLOOKUP(CR$6,Escalators!$I$25:$U$30,6,FALSE))</f>
        <v>0</v>
      </c>
      <c r="CS36" s="47">
        <f>IF($R36="",0,O36*$AE36*HLOOKUP(CS$6,Escalators!$I$25:$U$30,6,FALSE))</f>
        <v>0</v>
      </c>
      <c r="CT36" s="47">
        <f>IF($R36="",0,P36*$AE36*HLOOKUP(CT$6,Escalators!$I$25:$U$30,6,FALSE))</f>
        <v>0</v>
      </c>
      <c r="CU36" s="47">
        <f>IF($R36="",0,Q36*$AE36*HLOOKUP(CU$6,Escalators!$I$25:$U$30,6,FALSE))</f>
        <v>0</v>
      </c>
      <c r="CW36" s="83">
        <f t="shared" si="25"/>
        <v>0</v>
      </c>
      <c r="CX36" s="83">
        <f t="shared" si="26"/>
        <v>0</v>
      </c>
      <c r="CY36" s="83">
        <f t="shared" si="27"/>
        <v>0</v>
      </c>
      <c r="CZ36" s="83">
        <f t="shared" si="28"/>
        <v>0</v>
      </c>
      <c r="DA36" s="83">
        <f t="shared" si="29"/>
        <v>0</v>
      </c>
      <c r="DB36" s="83">
        <f t="shared" si="30"/>
        <v>0</v>
      </c>
      <c r="DC36" s="83">
        <f t="shared" si="31"/>
        <v>0</v>
      </c>
      <c r="DD36" s="83">
        <f t="shared" si="32"/>
        <v>0</v>
      </c>
      <c r="DF36" s="47">
        <f t="shared" si="33"/>
        <v>0</v>
      </c>
      <c r="DG36" s="47">
        <f t="shared" si="34"/>
        <v>0</v>
      </c>
      <c r="DH36" s="47">
        <f t="shared" si="35"/>
        <v>0</v>
      </c>
      <c r="DI36" s="47">
        <f t="shared" si="36"/>
        <v>0</v>
      </c>
      <c r="DJ36" s="47">
        <f t="shared" si="37"/>
        <v>0</v>
      </c>
      <c r="DK36" s="47">
        <f t="shared" si="38"/>
        <v>0</v>
      </c>
      <c r="DL36" s="47">
        <f t="shared" si="39"/>
        <v>0</v>
      </c>
      <c r="DM36" s="47">
        <f t="shared" si="40"/>
        <v>0</v>
      </c>
      <c r="DO36" s="39"/>
    </row>
    <row r="37" spans="2:119" x14ac:dyDescent="0.3">
      <c r="B37" s="7"/>
      <c r="C37" s="7"/>
      <c r="D37" s="7"/>
      <c r="E37" s="7"/>
      <c r="F37" s="7"/>
      <c r="G37" s="7"/>
      <c r="H37" s="7"/>
      <c r="I37" s="7"/>
      <c r="J37" s="7"/>
      <c r="K37" s="7"/>
      <c r="L37" s="7"/>
      <c r="M37" s="7"/>
      <c r="N37" s="7"/>
      <c r="O37" s="7"/>
      <c r="P37" s="7"/>
      <c r="Q37" s="7"/>
      <c r="R37" s="46"/>
      <c r="T37" s="47">
        <f t="shared" si="8"/>
        <v>0</v>
      </c>
      <c r="U37" s="47">
        <f t="shared" si="9"/>
        <v>0</v>
      </c>
      <c r="V37" s="47">
        <f t="shared" si="10"/>
        <v>0</v>
      </c>
      <c r="W37" s="47">
        <f t="shared" si="11"/>
        <v>0</v>
      </c>
      <c r="X37" s="47">
        <f t="shared" si="12"/>
        <v>0</v>
      </c>
      <c r="Y37" s="47">
        <f t="shared" si="13"/>
        <v>0</v>
      </c>
      <c r="Z37" s="47">
        <f t="shared" si="14"/>
        <v>0</v>
      </c>
      <c r="AA37" s="47">
        <f t="shared" si="15"/>
        <v>0</v>
      </c>
      <c r="AC37" s="83">
        <f t="shared" si="16"/>
        <v>0</v>
      </c>
      <c r="AD37" s="83">
        <f t="shared" si="16"/>
        <v>0</v>
      </c>
      <c r="AE37" s="83">
        <f t="shared" si="16"/>
        <v>0</v>
      </c>
      <c r="AF37" s="83">
        <f t="shared" si="16"/>
        <v>0</v>
      </c>
      <c r="AH37" s="47">
        <f>IF($R37="",0,J37*$AC37*HLOOKUP(AH$6,Escalators!$I$25:$U$30,3,FALSE))</f>
        <v>0</v>
      </c>
      <c r="AI37" s="47">
        <f>IF($R37="",0,K37*$AC37*HLOOKUP(AI$6,Escalators!$I$25:$U$30,3,FALSE))</f>
        <v>0</v>
      </c>
      <c r="AJ37" s="47">
        <f>IF($R37="",0,L37*$AC37*HLOOKUP(AJ$6,Escalators!$I$25:$U$30,3,FALSE))</f>
        <v>0</v>
      </c>
      <c r="AK37" s="47">
        <f>IF($R37="",0,M37*$AC37*HLOOKUP(AK$6,Escalators!$I$25:$U$30,3,FALSE))</f>
        <v>0</v>
      </c>
      <c r="AL37" s="47">
        <f>IF($R37="",0,N37*$AC37*HLOOKUP(AL$6,Escalators!$I$25:$U$30,3,FALSE))</f>
        <v>0</v>
      </c>
      <c r="AM37" s="47">
        <f>IF($R37="",0,O37*$AC37*HLOOKUP(AM$6,Escalators!$I$25:$U$30,3,FALSE))</f>
        <v>0</v>
      </c>
      <c r="AN37" s="47">
        <f>IF($R37="",0,P37*$AC37*HLOOKUP(AN$6,Escalators!$I$25:$U$30,3,FALSE))</f>
        <v>0</v>
      </c>
      <c r="AO37" s="47">
        <f>IF($R37="",0,Q37*$AC37*HLOOKUP(AO$6,Escalators!$I$25:$U$30,3,FALSE))</f>
        <v>0</v>
      </c>
      <c r="AQ37" s="6">
        <f>IF($R37="",0,$J37*$AD37*INDEX(Act_Type_Repex_Splits,MATCH($I37,Act_Type_Repex,0),MATCH(AQ$5,Mat_Type,0))*INDEX(Escalators!$I$44:$U$49,MATCH(AQ$5,Escalators!$C$44:$C$49,0),MATCH(AQ$6,Escalators!$I$43:$U$43,0)))</f>
        <v>0</v>
      </c>
      <c r="AR37" s="6">
        <f>IF($R37="",0,$J37*$AD37*INDEX(Act_Type_Repex_Splits,MATCH($I37,Act_Type_Repex,0),MATCH(AR$5,Mat_Type,0))*INDEX(Escalators!$I$44:$U$49,MATCH(AR$5,Escalators!$C$44:$C$49,0),MATCH(AR$6,Escalators!$I$43:$U$43,0)))</f>
        <v>0</v>
      </c>
      <c r="AS37" s="6">
        <f>IF($R37="",0,$J37*$AD37*INDEX(Act_Type_Repex_Splits,MATCH($I37,Act_Type_Repex,0),MATCH(AS$5,Mat_Type,0))*INDEX(Escalators!$I$44:$U$49,MATCH(AS$5,Escalators!$C$44:$C$49,0),MATCH(AS$6,Escalators!$I$43:$U$43,0)))</f>
        <v>0</v>
      </c>
      <c r="AT37" s="6">
        <f>IF($R37="",0,$J37*$AD37*INDEX(Act_Type_Repex_Splits,MATCH($I37,Act_Type_Repex,0),MATCH(AT$5,Mat_Type,0))*INDEX(Escalators!$I$44:$U$49,MATCH(AT$5,Escalators!$C$44:$C$49,0),MATCH(AT$6,Escalators!$I$43:$U$43,0)))</f>
        <v>0</v>
      </c>
      <c r="AU37" s="6">
        <f>IF($R37="",0,$J37*$AD37*INDEX(Act_Type_Repex_Splits,MATCH($I37,Act_Type_Repex,0),MATCH(AU$5,Mat_Type,0))*INDEX(Escalators!$I$44:$U$49,MATCH(AU$5,Escalators!$C$44:$C$49,0),MATCH(AU$6,Escalators!$I$43:$U$43,0)))</f>
        <v>0</v>
      </c>
      <c r="AV37" s="47">
        <f t="shared" si="17"/>
        <v>0</v>
      </c>
      <c r="AW37" s="47">
        <f>IF($R37="",0,$K37*$AD37*INDEX(Act_Type_Repex_Splits,MATCH($I37,Act_Type_Repex,0),MATCH(AW$5,Mat_Type,0))*INDEX(Escalators!$I$44:$U$49,MATCH(AW$5,Escalators!$C$44:$C$49,0),MATCH(AW$6,Escalators!$I$43:$U$43,0)))</f>
        <v>0</v>
      </c>
      <c r="AX37" s="47">
        <f>IF($R37="",0,$K37*$AD37*INDEX(Act_Type_Repex_Splits,MATCH($I37,Act_Type_Repex,0),MATCH(AX$5,Mat_Type,0))*INDEX(Escalators!$I$44:$U$49,MATCH(AX$5,Escalators!$C$44:$C$49,0),MATCH(AX$6,Escalators!$I$43:$U$43,0)))</f>
        <v>0</v>
      </c>
      <c r="AY37" s="47">
        <f>IF($R37="",0,$K37*$AD37*INDEX(Act_Type_Repex_Splits,MATCH($I37,Act_Type_Repex,0),MATCH(AY$5,Mat_Type,0))*INDEX(Escalators!$I$44:$U$49,MATCH(AY$5,Escalators!$C$44:$C$49,0),MATCH(AY$6,Escalators!$I$43:$U$43,0)))</f>
        <v>0</v>
      </c>
      <c r="AZ37" s="47">
        <f>IF($R37="",0,$K37*$AD37*INDEX(Act_Type_Repex_Splits,MATCH($I37,Act_Type_Repex,0),MATCH(AZ$5,Mat_Type,0))*INDEX(Escalators!$I$44:$U$49,MATCH(AZ$5,Escalators!$C$44:$C$49,0),MATCH(AZ$6,Escalators!$I$43:$U$43,0)))</f>
        <v>0</v>
      </c>
      <c r="BA37" s="47">
        <f>IF($R37="",0,$K37*$AD37*INDEX(Act_Type_Repex_Splits,MATCH($I37,Act_Type_Repex,0),MATCH(BA$5,Mat_Type,0))*INDEX(Escalators!$I$44:$U$49,MATCH(BA$5,Escalators!$C$44:$C$49,0),MATCH(BA$6,Escalators!$I$43:$U$43,0)))</f>
        <v>0</v>
      </c>
      <c r="BB37" s="47">
        <f t="shared" si="18"/>
        <v>0</v>
      </c>
      <c r="BC37" s="47">
        <f>IF($R37="",0,$L37*$AD37*INDEX(Act_Type_Repex_Splits,MATCH($I37,Act_Type_Repex,0),MATCH(BC$5,Mat_Type,0))*INDEX(Escalators!$I$44:$U$49,MATCH(BC$5,Escalators!$C$44:$C$49,0),MATCH(BC$6,Escalators!$I$43:$U$43,0)))</f>
        <v>0</v>
      </c>
      <c r="BD37" s="47">
        <f>IF($R37="",0,$L37*$AD37*INDEX(Act_Type_Repex_Splits,MATCH($I37,Act_Type_Repex,0),MATCH(BD$5,Mat_Type,0))*INDEX(Escalators!$I$44:$U$49,MATCH(BD$5,Escalators!$C$44:$C$49,0),MATCH(BD$6,Escalators!$I$43:$U$43,0)))</f>
        <v>0</v>
      </c>
      <c r="BE37" s="47">
        <f>IF($R37="",0,$L37*$AD37*INDEX(Act_Type_Repex_Splits,MATCH($I37,Act_Type_Repex,0),MATCH(BE$5,Mat_Type,0))*INDEX(Escalators!$I$44:$U$49,MATCH(BE$5,Escalators!$C$44:$C$49,0),MATCH(BE$6,Escalators!$I$43:$U$43,0)))</f>
        <v>0</v>
      </c>
      <c r="BF37" s="47">
        <f>IF($R37="",0,$L37*$AD37*INDEX(Act_Type_Repex_Splits,MATCH($I37,Act_Type_Repex,0),MATCH(BF$5,Mat_Type,0))*INDEX(Escalators!$I$44:$U$49,MATCH(BF$5,Escalators!$C$44:$C$49,0),MATCH(BF$6,Escalators!$I$43:$U$43,0)))</f>
        <v>0</v>
      </c>
      <c r="BG37" s="47">
        <f>IF($R37="",0,$L37*$AD37*INDEX(Act_Type_Repex_Splits,MATCH($I37,Act_Type_Repex,0),MATCH(BG$5,Mat_Type,0))*INDEX(Escalators!$I$44:$U$49,MATCH(BG$5,Escalators!$C$44:$C$49,0),MATCH(BG$6,Escalators!$I$43:$U$43,0)))</f>
        <v>0</v>
      </c>
      <c r="BH37" s="47">
        <f t="shared" si="19"/>
        <v>0</v>
      </c>
      <c r="BI37" s="47">
        <f>IF($R37="",0,$M37*$AD37*INDEX(Act_Type_Repex_Splits,MATCH($I37,Act_Type_Repex,0),MATCH(BI$5,Mat_Type,0))*INDEX(Escalators!$I$44:$U$49,MATCH(BI$5,Escalators!$C$44:$C$49,0),MATCH(BI$6,Escalators!$I$43:$U$43,0)))</f>
        <v>0</v>
      </c>
      <c r="BJ37" s="47">
        <f>IF($R37="",0,$M37*$AD37*INDEX(Act_Type_Repex_Splits,MATCH($I37,Act_Type_Repex,0),MATCH(BJ$5,Mat_Type,0))*INDEX(Escalators!$I$44:$U$49,MATCH(BJ$5,Escalators!$C$44:$C$49,0),MATCH(BJ$6,Escalators!$I$43:$U$43,0)))</f>
        <v>0</v>
      </c>
      <c r="BK37" s="47">
        <f>IF($R37="",0,$M37*$AD37*INDEX(Act_Type_Repex_Splits,MATCH($I37,Act_Type_Repex,0),MATCH(BK$5,Mat_Type,0))*INDEX(Escalators!$I$44:$U$49,MATCH(BK$5,Escalators!$C$44:$C$49,0),MATCH(BK$6,Escalators!$I$43:$U$43,0)))</f>
        <v>0</v>
      </c>
      <c r="BL37" s="47">
        <f>IF($R37="",0,$M37*$AD37*INDEX(Act_Type_Repex_Splits,MATCH($I37,Act_Type_Repex,0),MATCH(BL$5,Mat_Type,0))*INDEX(Escalators!$I$44:$U$49,MATCH(BL$5,Escalators!$C$44:$C$49,0),MATCH(BL$6,Escalators!$I$43:$U$43,0)))</f>
        <v>0</v>
      </c>
      <c r="BM37" s="47">
        <f>IF($R37="",0,$M37*$AD37*INDEX(Act_Type_Repex_Splits,MATCH($I37,Act_Type_Repex,0),MATCH(BM$5,Mat_Type,0))*INDEX(Escalators!$I$44:$U$49,MATCH(BM$5,Escalators!$C$44:$C$49,0),MATCH(BM$6,Escalators!$I$43:$U$43,0)))</f>
        <v>0</v>
      </c>
      <c r="BN37" s="47">
        <f t="shared" si="20"/>
        <v>0</v>
      </c>
      <c r="BO37" s="47">
        <f>IF($R37="",0,$N37*$AD37*INDEX(Act_Type_Repex_Splits,MATCH($I37,Act_Type_Repex,0),MATCH(BO$5,Mat_Type,0))*INDEX(Escalators!$I$44:$U$49,MATCH(BO$5,Escalators!$C$44:$C$49,0),MATCH(BO$6,Escalators!$I$43:$U$43,0)))</f>
        <v>0</v>
      </c>
      <c r="BP37" s="47">
        <f>IF($R37="",0,$N37*$AD37*INDEX(Act_Type_Repex_Splits,MATCH($I37,Act_Type_Repex,0),MATCH(BP$5,Mat_Type,0))*INDEX(Escalators!$I$44:$U$49,MATCH(BP$5,Escalators!$C$44:$C$49,0),MATCH(BP$6,Escalators!$I$43:$U$43,0)))</f>
        <v>0</v>
      </c>
      <c r="BQ37" s="47">
        <f>IF($R37="",0,$N37*$AD37*INDEX(Act_Type_Repex_Splits,MATCH($I37,Act_Type_Repex,0),MATCH(BQ$5,Mat_Type,0))*INDEX(Escalators!$I$44:$U$49,MATCH(BQ$5,Escalators!$C$44:$C$49,0),MATCH(BQ$6,Escalators!$I$43:$U$43,0)))</f>
        <v>0</v>
      </c>
      <c r="BR37" s="47">
        <f>IF($R37="",0,$N37*$AD37*INDEX(Act_Type_Repex_Splits,MATCH($I37,Act_Type_Repex,0),MATCH(BR$5,Mat_Type,0))*INDEX(Escalators!$I$44:$U$49,MATCH(BR$5,Escalators!$C$44:$C$49,0),MATCH(BR$6,Escalators!$I$43:$U$43,0)))</f>
        <v>0</v>
      </c>
      <c r="BS37" s="47">
        <f>IF($R37="",0,$N37*$AD37*INDEX(Act_Type_Repex_Splits,MATCH($I37,Act_Type_Repex,0),MATCH(BS$5,Mat_Type,0))*INDEX(Escalators!$I$44:$U$49,MATCH(BS$5,Escalators!$C$44:$C$49,0),MATCH(BS$6,Escalators!$I$43:$U$43,0)))</f>
        <v>0</v>
      </c>
      <c r="BT37" s="47">
        <f t="shared" si="21"/>
        <v>0</v>
      </c>
      <c r="BU37" s="47">
        <f>IF($R37="",0,$O37*$AD37*INDEX(Act_Type_Repex_Splits,MATCH($I37,Act_Type_Repex,0),MATCH(BU$5,Mat_Type,0))*INDEX(Escalators!$I$44:$U$49,MATCH(BU$5,Escalators!$C$44:$C$49,0),MATCH(BU$6,Escalators!$I$43:$U$43,0)))</f>
        <v>0</v>
      </c>
      <c r="BV37" s="47">
        <f>IF($R37="",0,$O37*$AD37*INDEX(Act_Type_Repex_Splits,MATCH($I37,Act_Type_Repex,0),MATCH(BV$5,Mat_Type,0))*INDEX(Escalators!$I$44:$U$49,MATCH(BV$5,Escalators!$C$44:$C$49,0),MATCH(BV$6,Escalators!$I$43:$U$43,0)))</f>
        <v>0</v>
      </c>
      <c r="BW37" s="47">
        <f>IF($R37="",0,$O37*$AD37*INDEX(Act_Type_Repex_Splits,MATCH($I37,Act_Type_Repex,0),MATCH(BW$5,Mat_Type,0))*INDEX(Escalators!$I$44:$U$49,MATCH(BW$5,Escalators!$C$44:$C$49,0),MATCH(BW$6,Escalators!$I$43:$U$43,0)))</f>
        <v>0</v>
      </c>
      <c r="BX37" s="47">
        <f>IF($R37="",0,$O37*$AD37*INDEX(Act_Type_Repex_Splits,MATCH($I37,Act_Type_Repex,0),MATCH(BX$5,Mat_Type,0))*INDEX(Escalators!$I$44:$U$49,MATCH(BX$5,Escalators!$C$44:$C$49,0),MATCH(BX$6,Escalators!$I$43:$U$43,0)))</f>
        <v>0</v>
      </c>
      <c r="BY37" s="47">
        <f>IF($R37="",0,$O37*$AD37*INDEX(Act_Type_Repex_Splits,MATCH($I37,Act_Type_Repex,0),MATCH(BY$5,Mat_Type,0))*INDEX(Escalators!$I$44:$U$49,MATCH(BY$5,Escalators!$C$44:$C$49,0),MATCH(BY$6,Escalators!$I$43:$U$43,0)))</f>
        <v>0</v>
      </c>
      <c r="BZ37" s="47">
        <f t="shared" si="22"/>
        <v>0</v>
      </c>
      <c r="CA37" s="47">
        <f>IF($R37="",0,$P37*$AD37*INDEX(Act_Type_Repex_Splits,MATCH($I37,Act_Type_Repex,0),MATCH(CA$5,Mat_Type,0))*INDEX(Escalators!$I$44:$U$49,MATCH(CA$5,Escalators!$C$44:$C$49,0),MATCH(CA$6,Escalators!$I$43:$U$43,0)))</f>
        <v>0</v>
      </c>
      <c r="CB37" s="47">
        <f>IF($R37="",0,$P37*$AD37*INDEX(Act_Type_Repex_Splits,MATCH($I37,Act_Type_Repex,0),MATCH(CB$5,Mat_Type,0))*INDEX(Escalators!$I$44:$U$49,MATCH(CB$5,Escalators!$C$44:$C$49,0),MATCH(CB$6,Escalators!$I$43:$U$43,0)))</f>
        <v>0</v>
      </c>
      <c r="CC37" s="47">
        <f>IF($R37="",0,$P37*$AD37*INDEX(Act_Type_Repex_Splits,MATCH($I37,Act_Type_Repex,0),MATCH(CC$5,Mat_Type,0))*INDEX(Escalators!$I$44:$U$49,MATCH(CC$5,Escalators!$C$44:$C$49,0),MATCH(CC$6,Escalators!$I$43:$U$43,0)))</f>
        <v>0</v>
      </c>
      <c r="CD37" s="47">
        <f>IF($R37="",0,$P37*$AD37*INDEX(Act_Type_Repex_Splits,MATCH($I37,Act_Type_Repex,0),MATCH(CD$5,Mat_Type,0))*INDEX(Escalators!$I$44:$U$49,MATCH(CD$5,Escalators!$C$44:$C$49,0),MATCH(CD$6,Escalators!$I$43:$U$43,0)))</f>
        <v>0</v>
      </c>
      <c r="CE37" s="47">
        <f>IF($R37="",0,$P37*$AD37*INDEX(Act_Type_Repex_Splits,MATCH($I37,Act_Type_Repex,0),MATCH(CE$5,Mat_Type,0))*INDEX(Escalators!$I$44:$U$49,MATCH(CE$5,Escalators!$C$44:$C$49,0),MATCH(CE$6,Escalators!$I$43:$U$43,0)))</f>
        <v>0</v>
      </c>
      <c r="CF37" s="47">
        <f t="shared" si="23"/>
        <v>0</v>
      </c>
      <c r="CG37" s="47">
        <f>IF($R37="",0,$Q37*$AD37*INDEX(Act_Type_Repex_Splits,MATCH($I37,Act_Type_Repex,0),MATCH(CG$5,Mat_Type,0))*INDEX(Escalators!$I$44:$U$49,MATCH(CG$5,Escalators!$C$44:$C$49,0),MATCH(CG$6,Escalators!$I$43:$U$43,0)))</f>
        <v>0</v>
      </c>
      <c r="CH37" s="47">
        <f>IF($R37="",0,$Q37*$AD37*INDEX(Act_Type_Repex_Splits,MATCH($I37,Act_Type_Repex,0),MATCH(CH$5,Mat_Type,0))*INDEX(Escalators!$I$44:$U$49,MATCH(CH$5,Escalators!$C$44:$C$49,0),MATCH(CH$6,Escalators!$I$43:$U$43,0)))</f>
        <v>0</v>
      </c>
      <c r="CI37" s="47">
        <f>IF($R37="",0,$Q37*$AD37*INDEX(Act_Type_Repex_Splits,MATCH($I37,Act_Type_Repex,0),MATCH(CI$5,Mat_Type,0))*INDEX(Escalators!$I$44:$U$49,MATCH(CI$5,Escalators!$C$44:$C$49,0),MATCH(CI$6,Escalators!$I$43:$U$43,0)))</f>
        <v>0</v>
      </c>
      <c r="CJ37" s="47">
        <f>IF($R37="",0,$Q37*$AD37*INDEX(Act_Type_Repex_Splits,MATCH($I37,Act_Type_Repex,0),MATCH(CJ$5,Mat_Type,0))*INDEX(Escalators!$I$44:$U$49,MATCH(CJ$5,Escalators!$C$44:$C$49,0),MATCH(CJ$6,Escalators!$I$43:$U$43,0)))</f>
        <v>0</v>
      </c>
      <c r="CK37" s="47">
        <f>IF($R37="",0,$Q37*$AD37*INDEX(Act_Type_Repex_Splits,MATCH($I37,Act_Type_Repex,0),MATCH(CK$5,Mat_Type,0))*INDEX(Escalators!$I$44:$U$49,MATCH(CK$5,Escalators!$C$44:$C$49,0),MATCH(CK$6,Escalators!$I$43:$U$43,0)))</f>
        <v>0</v>
      </c>
      <c r="CL37" s="47">
        <f t="shared" si="24"/>
        <v>0</v>
      </c>
      <c r="CN37" s="47">
        <f>IF($R37="",0,J37*$AE37*HLOOKUP(CN$6,Escalators!$I$25:$U$30,6,FALSE))</f>
        <v>0</v>
      </c>
      <c r="CO37" s="47">
        <f>IF($R37="",0,K37*$AE37*HLOOKUP(CO$6,Escalators!$I$25:$U$30,6,FALSE))</f>
        <v>0</v>
      </c>
      <c r="CP37" s="47">
        <f>IF($R37="",0,L37*$AE37*HLOOKUP(CP$6,Escalators!$I$25:$U$30,6,FALSE))</f>
        <v>0</v>
      </c>
      <c r="CQ37" s="47">
        <f>IF($R37="",0,M37*$AE37*HLOOKUP(CQ$6,Escalators!$I$25:$U$30,6,FALSE))</f>
        <v>0</v>
      </c>
      <c r="CR37" s="47">
        <f>IF($R37="",0,N37*$AE37*HLOOKUP(CR$6,Escalators!$I$25:$U$30,6,FALSE))</f>
        <v>0</v>
      </c>
      <c r="CS37" s="47">
        <f>IF($R37="",0,O37*$AE37*HLOOKUP(CS$6,Escalators!$I$25:$U$30,6,FALSE))</f>
        <v>0</v>
      </c>
      <c r="CT37" s="47">
        <f>IF($R37="",0,P37*$AE37*HLOOKUP(CT$6,Escalators!$I$25:$U$30,6,FALSE))</f>
        <v>0</v>
      </c>
      <c r="CU37" s="47">
        <f>IF($R37="",0,Q37*$AE37*HLOOKUP(CU$6,Escalators!$I$25:$U$30,6,FALSE))</f>
        <v>0</v>
      </c>
      <c r="CW37" s="83">
        <f t="shared" si="25"/>
        <v>0</v>
      </c>
      <c r="CX37" s="83">
        <f t="shared" si="26"/>
        <v>0</v>
      </c>
      <c r="CY37" s="83">
        <f t="shared" si="27"/>
        <v>0</v>
      </c>
      <c r="CZ37" s="83">
        <f t="shared" si="28"/>
        <v>0</v>
      </c>
      <c r="DA37" s="83">
        <f t="shared" si="29"/>
        <v>0</v>
      </c>
      <c r="DB37" s="83">
        <f t="shared" si="30"/>
        <v>0</v>
      </c>
      <c r="DC37" s="83">
        <f t="shared" si="31"/>
        <v>0</v>
      </c>
      <c r="DD37" s="83">
        <f t="shared" si="32"/>
        <v>0</v>
      </c>
      <c r="DF37" s="47">
        <f t="shared" si="33"/>
        <v>0</v>
      </c>
      <c r="DG37" s="47">
        <f t="shared" si="34"/>
        <v>0</v>
      </c>
      <c r="DH37" s="47">
        <f t="shared" si="35"/>
        <v>0</v>
      </c>
      <c r="DI37" s="47">
        <f t="shared" si="36"/>
        <v>0</v>
      </c>
      <c r="DJ37" s="47">
        <f t="shared" si="37"/>
        <v>0</v>
      </c>
      <c r="DK37" s="47">
        <f t="shared" si="38"/>
        <v>0</v>
      </c>
      <c r="DL37" s="47">
        <f t="shared" si="39"/>
        <v>0</v>
      </c>
      <c r="DM37" s="47">
        <f t="shared" si="40"/>
        <v>0</v>
      </c>
      <c r="DO37" s="39"/>
    </row>
    <row r="38" spans="2:119" x14ac:dyDescent="0.3">
      <c r="B38" s="7"/>
      <c r="C38" s="7"/>
      <c r="D38" s="7"/>
      <c r="E38" s="7"/>
      <c r="F38" s="7"/>
      <c r="G38" s="7"/>
      <c r="H38" s="7"/>
      <c r="I38" s="7"/>
      <c r="J38" s="7"/>
      <c r="K38" s="7"/>
      <c r="L38" s="7"/>
      <c r="M38" s="7"/>
      <c r="N38" s="7"/>
      <c r="O38" s="7"/>
      <c r="P38" s="7"/>
      <c r="Q38" s="7"/>
      <c r="R38" s="46"/>
      <c r="T38" s="47">
        <f t="shared" si="8"/>
        <v>0</v>
      </c>
      <c r="U38" s="47">
        <f t="shared" si="9"/>
        <v>0</v>
      </c>
      <c r="V38" s="47">
        <f t="shared" si="10"/>
        <v>0</v>
      </c>
      <c r="W38" s="47">
        <f t="shared" si="11"/>
        <v>0</v>
      </c>
      <c r="X38" s="47">
        <f t="shared" si="12"/>
        <v>0</v>
      </c>
      <c r="Y38" s="47">
        <f t="shared" si="13"/>
        <v>0</v>
      </c>
      <c r="Z38" s="47">
        <f t="shared" si="14"/>
        <v>0</v>
      </c>
      <c r="AA38" s="47">
        <f t="shared" si="15"/>
        <v>0</v>
      </c>
      <c r="AC38" s="83">
        <f t="shared" si="16"/>
        <v>0</v>
      </c>
      <c r="AD38" s="83">
        <f t="shared" si="16"/>
        <v>0</v>
      </c>
      <c r="AE38" s="83">
        <f t="shared" si="16"/>
        <v>0</v>
      </c>
      <c r="AF38" s="83">
        <f t="shared" si="16"/>
        <v>0</v>
      </c>
      <c r="AH38" s="47">
        <f>IF($R38="",0,J38*$AC38*HLOOKUP(AH$6,Escalators!$I$25:$U$30,3,FALSE))</f>
        <v>0</v>
      </c>
      <c r="AI38" s="47">
        <f>IF($R38="",0,K38*$AC38*HLOOKUP(AI$6,Escalators!$I$25:$U$30,3,FALSE))</f>
        <v>0</v>
      </c>
      <c r="AJ38" s="47">
        <f>IF($R38="",0,L38*$AC38*HLOOKUP(AJ$6,Escalators!$I$25:$U$30,3,FALSE))</f>
        <v>0</v>
      </c>
      <c r="AK38" s="47">
        <f>IF($R38="",0,M38*$AC38*HLOOKUP(AK$6,Escalators!$I$25:$U$30,3,FALSE))</f>
        <v>0</v>
      </c>
      <c r="AL38" s="47">
        <f>IF($R38="",0,N38*$AC38*HLOOKUP(AL$6,Escalators!$I$25:$U$30,3,FALSE))</f>
        <v>0</v>
      </c>
      <c r="AM38" s="47">
        <f>IF($R38="",0,O38*$AC38*HLOOKUP(AM$6,Escalators!$I$25:$U$30,3,FALSE))</f>
        <v>0</v>
      </c>
      <c r="AN38" s="47">
        <f>IF($R38="",0,P38*$AC38*HLOOKUP(AN$6,Escalators!$I$25:$U$30,3,FALSE))</f>
        <v>0</v>
      </c>
      <c r="AO38" s="47">
        <f>IF($R38="",0,Q38*$AC38*HLOOKUP(AO$6,Escalators!$I$25:$U$30,3,FALSE))</f>
        <v>0</v>
      </c>
      <c r="AQ38" s="6">
        <f>IF($R38="",0,$J38*$AD38*INDEX(Act_Type_Repex_Splits,MATCH($I38,Act_Type_Repex,0),MATCH(AQ$5,Mat_Type,0))*INDEX(Escalators!$I$44:$U$49,MATCH(AQ$5,Escalators!$C$44:$C$49,0),MATCH(AQ$6,Escalators!$I$43:$U$43,0)))</f>
        <v>0</v>
      </c>
      <c r="AR38" s="6">
        <f>IF($R38="",0,$J38*$AD38*INDEX(Act_Type_Repex_Splits,MATCH($I38,Act_Type_Repex,0),MATCH(AR$5,Mat_Type,0))*INDEX(Escalators!$I$44:$U$49,MATCH(AR$5,Escalators!$C$44:$C$49,0),MATCH(AR$6,Escalators!$I$43:$U$43,0)))</f>
        <v>0</v>
      </c>
      <c r="AS38" s="6">
        <f>IF($R38="",0,$J38*$AD38*INDEX(Act_Type_Repex_Splits,MATCH($I38,Act_Type_Repex,0),MATCH(AS$5,Mat_Type,0))*INDEX(Escalators!$I$44:$U$49,MATCH(AS$5,Escalators!$C$44:$C$49,0),MATCH(AS$6,Escalators!$I$43:$U$43,0)))</f>
        <v>0</v>
      </c>
      <c r="AT38" s="6">
        <f>IF($R38="",0,$J38*$AD38*INDEX(Act_Type_Repex_Splits,MATCH($I38,Act_Type_Repex,0),MATCH(AT$5,Mat_Type,0))*INDEX(Escalators!$I$44:$U$49,MATCH(AT$5,Escalators!$C$44:$C$49,0),MATCH(AT$6,Escalators!$I$43:$U$43,0)))</f>
        <v>0</v>
      </c>
      <c r="AU38" s="6">
        <f>IF($R38="",0,$J38*$AD38*INDEX(Act_Type_Repex_Splits,MATCH($I38,Act_Type_Repex,0),MATCH(AU$5,Mat_Type,0))*INDEX(Escalators!$I$44:$U$49,MATCH(AU$5,Escalators!$C$44:$C$49,0),MATCH(AU$6,Escalators!$I$43:$U$43,0)))</f>
        <v>0</v>
      </c>
      <c r="AV38" s="47">
        <f t="shared" si="17"/>
        <v>0</v>
      </c>
      <c r="AW38" s="47">
        <f>IF($R38="",0,$K38*$AD38*INDEX(Act_Type_Repex_Splits,MATCH($I38,Act_Type_Repex,0),MATCH(AW$5,Mat_Type,0))*INDEX(Escalators!$I$44:$U$49,MATCH(AW$5,Escalators!$C$44:$C$49,0),MATCH(AW$6,Escalators!$I$43:$U$43,0)))</f>
        <v>0</v>
      </c>
      <c r="AX38" s="47">
        <f>IF($R38="",0,$K38*$AD38*INDEX(Act_Type_Repex_Splits,MATCH($I38,Act_Type_Repex,0),MATCH(AX$5,Mat_Type,0))*INDEX(Escalators!$I$44:$U$49,MATCH(AX$5,Escalators!$C$44:$C$49,0),MATCH(AX$6,Escalators!$I$43:$U$43,0)))</f>
        <v>0</v>
      </c>
      <c r="AY38" s="47">
        <f>IF($R38="",0,$K38*$AD38*INDEX(Act_Type_Repex_Splits,MATCH($I38,Act_Type_Repex,0),MATCH(AY$5,Mat_Type,0))*INDEX(Escalators!$I$44:$U$49,MATCH(AY$5,Escalators!$C$44:$C$49,0),MATCH(AY$6,Escalators!$I$43:$U$43,0)))</f>
        <v>0</v>
      </c>
      <c r="AZ38" s="47">
        <f>IF($R38="",0,$K38*$AD38*INDEX(Act_Type_Repex_Splits,MATCH($I38,Act_Type_Repex,0),MATCH(AZ$5,Mat_Type,0))*INDEX(Escalators!$I$44:$U$49,MATCH(AZ$5,Escalators!$C$44:$C$49,0),MATCH(AZ$6,Escalators!$I$43:$U$43,0)))</f>
        <v>0</v>
      </c>
      <c r="BA38" s="47">
        <f>IF($R38="",0,$K38*$AD38*INDEX(Act_Type_Repex_Splits,MATCH($I38,Act_Type_Repex,0),MATCH(BA$5,Mat_Type,0))*INDEX(Escalators!$I$44:$U$49,MATCH(BA$5,Escalators!$C$44:$C$49,0),MATCH(BA$6,Escalators!$I$43:$U$43,0)))</f>
        <v>0</v>
      </c>
      <c r="BB38" s="47">
        <f t="shared" si="18"/>
        <v>0</v>
      </c>
      <c r="BC38" s="47">
        <f>IF($R38="",0,$L38*$AD38*INDEX(Act_Type_Repex_Splits,MATCH($I38,Act_Type_Repex,0),MATCH(BC$5,Mat_Type,0))*INDEX(Escalators!$I$44:$U$49,MATCH(BC$5,Escalators!$C$44:$C$49,0),MATCH(BC$6,Escalators!$I$43:$U$43,0)))</f>
        <v>0</v>
      </c>
      <c r="BD38" s="47">
        <f>IF($R38="",0,$L38*$AD38*INDEX(Act_Type_Repex_Splits,MATCH($I38,Act_Type_Repex,0),MATCH(BD$5,Mat_Type,0))*INDEX(Escalators!$I$44:$U$49,MATCH(BD$5,Escalators!$C$44:$C$49,0),MATCH(BD$6,Escalators!$I$43:$U$43,0)))</f>
        <v>0</v>
      </c>
      <c r="BE38" s="47">
        <f>IF($R38="",0,$L38*$AD38*INDEX(Act_Type_Repex_Splits,MATCH($I38,Act_Type_Repex,0),MATCH(BE$5,Mat_Type,0))*INDEX(Escalators!$I$44:$U$49,MATCH(BE$5,Escalators!$C$44:$C$49,0),MATCH(BE$6,Escalators!$I$43:$U$43,0)))</f>
        <v>0</v>
      </c>
      <c r="BF38" s="47">
        <f>IF($R38="",0,$L38*$AD38*INDEX(Act_Type_Repex_Splits,MATCH($I38,Act_Type_Repex,0),MATCH(BF$5,Mat_Type,0))*INDEX(Escalators!$I$44:$U$49,MATCH(BF$5,Escalators!$C$44:$C$49,0),MATCH(BF$6,Escalators!$I$43:$U$43,0)))</f>
        <v>0</v>
      </c>
      <c r="BG38" s="47">
        <f>IF($R38="",0,$L38*$AD38*INDEX(Act_Type_Repex_Splits,MATCH($I38,Act_Type_Repex,0),MATCH(BG$5,Mat_Type,0))*INDEX(Escalators!$I$44:$U$49,MATCH(BG$5,Escalators!$C$44:$C$49,0),MATCH(BG$6,Escalators!$I$43:$U$43,0)))</f>
        <v>0</v>
      </c>
      <c r="BH38" s="47">
        <f t="shared" si="19"/>
        <v>0</v>
      </c>
      <c r="BI38" s="47">
        <f>IF($R38="",0,$M38*$AD38*INDEX(Act_Type_Repex_Splits,MATCH($I38,Act_Type_Repex,0),MATCH(BI$5,Mat_Type,0))*INDEX(Escalators!$I$44:$U$49,MATCH(BI$5,Escalators!$C$44:$C$49,0),MATCH(BI$6,Escalators!$I$43:$U$43,0)))</f>
        <v>0</v>
      </c>
      <c r="BJ38" s="47">
        <f>IF($R38="",0,$M38*$AD38*INDEX(Act_Type_Repex_Splits,MATCH($I38,Act_Type_Repex,0),MATCH(BJ$5,Mat_Type,0))*INDEX(Escalators!$I$44:$U$49,MATCH(BJ$5,Escalators!$C$44:$C$49,0),MATCH(BJ$6,Escalators!$I$43:$U$43,0)))</f>
        <v>0</v>
      </c>
      <c r="BK38" s="47">
        <f>IF($R38="",0,$M38*$AD38*INDEX(Act_Type_Repex_Splits,MATCH($I38,Act_Type_Repex,0),MATCH(BK$5,Mat_Type,0))*INDEX(Escalators!$I$44:$U$49,MATCH(BK$5,Escalators!$C$44:$C$49,0),MATCH(BK$6,Escalators!$I$43:$U$43,0)))</f>
        <v>0</v>
      </c>
      <c r="BL38" s="47">
        <f>IF($R38="",0,$M38*$AD38*INDEX(Act_Type_Repex_Splits,MATCH($I38,Act_Type_Repex,0),MATCH(BL$5,Mat_Type,0))*INDEX(Escalators!$I$44:$U$49,MATCH(BL$5,Escalators!$C$44:$C$49,0),MATCH(BL$6,Escalators!$I$43:$U$43,0)))</f>
        <v>0</v>
      </c>
      <c r="BM38" s="47">
        <f>IF($R38="",0,$M38*$AD38*INDEX(Act_Type_Repex_Splits,MATCH($I38,Act_Type_Repex,0),MATCH(BM$5,Mat_Type,0))*INDEX(Escalators!$I$44:$U$49,MATCH(BM$5,Escalators!$C$44:$C$49,0),MATCH(BM$6,Escalators!$I$43:$U$43,0)))</f>
        <v>0</v>
      </c>
      <c r="BN38" s="47">
        <f t="shared" si="20"/>
        <v>0</v>
      </c>
      <c r="BO38" s="47">
        <f>IF($R38="",0,$N38*$AD38*INDEX(Act_Type_Repex_Splits,MATCH($I38,Act_Type_Repex,0),MATCH(BO$5,Mat_Type,0))*INDEX(Escalators!$I$44:$U$49,MATCH(BO$5,Escalators!$C$44:$C$49,0),MATCH(BO$6,Escalators!$I$43:$U$43,0)))</f>
        <v>0</v>
      </c>
      <c r="BP38" s="47">
        <f>IF($R38="",0,$N38*$AD38*INDEX(Act_Type_Repex_Splits,MATCH($I38,Act_Type_Repex,0),MATCH(BP$5,Mat_Type,0))*INDEX(Escalators!$I$44:$U$49,MATCH(BP$5,Escalators!$C$44:$C$49,0),MATCH(BP$6,Escalators!$I$43:$U$43,0)))</f>
        <v>0</v>
      </c>
      <c r="BQ38" s="47">
        <f>IF($R38="",0,$N38*$AD38*INDEX(Act_Type_Repex_Splits,MATCH($I38,Act_Type_Repex,0),MATCH(BQ$5,Mat_Type,0))*INDEX(Escalators!$I$44:$U$49,MATCH(BQ$5,Escalators!$C$44:$C$49,0),MATCH(BQ$6,Escalators!$I$43:$U$43,0)))</f>
        <v>0</v>
      </c>
      <c r="BR38" s="47">
        <f>IF($R38="",0,$N38*$AD38*INDEX(Act_Type_Repex_Splits,MATCH($I38,Act_Type_Repex,0),MATCH(BR$5,Mat_Type,0))*INDEX(Escalators!$I$44:$U$49,MATCH(BR$5,Escalators!$C$44:$C$49,0),MATCH(BR$6,Escalators!$I$43:$U$43,0)))</f>
        <v>0</v>
      </c>
      <c r="BS38" s="47">
        <f>IF($R38="",0,$N38*$AD38*INDEX(Act_Type_Repex_Splits,MATCH($I38,Act_Type_Repex,0),MATCH(BS$5,Mat_Type,0))*INDEX(Escalators!$I$44:$U$49,MATCH(BS$5,Escalators!$C$44:$C$49,0),MATCH(BS$6,Escalators!$I$43:$U$43,0)))</f>
        <v>0</v>
      </c>
      <c r="BT38" s="47">
        <f t="shared" si="21"/>
        <v>0</v>
      </c>
      <c r="BU38" s="47">
        <f>IF($R38="",0,$O38*$AD38*INDEX(Act_Type_Repex_Splits,MATCH($I38,Act_Type_Repex,0),MATCH(BU$5,Mat_Type,0))*INDEX(Escalators!$I$44:$U$49,MATCH(BU$5,Escalators!$C$44:$C$49,0),MATCH(BU$6,Escalators!$I$43:$U$43,0)))</f>
        <v>0</v>
      </c>
      <c r="BV38" s="47">
        <f>IF($R38="",0,$O38*$AD38*INDEX(Act_Type_Repex_Splits,MATCH($I38,Act_Type_Repex,0),MATCH(BV$5,Mat_Type,0))*INDEX(Escalators!$I$44:$U$49,MATCH(BV$5,Escalators!$C$44:$C$49,0),MATCH(BV$6,Escalators!$I$43:$U$43,0)))</f>
        <v>0</v>
      </c>
      <c r="BW38" s="47">
        <f>IF($R38="",0,$O38*$AD38*INDEX(Act_Type_Repex_Splits,MATCH($I38,Act_Type_Repex,0),MATCH(BW$5,Mat_Type,0))*INDEX(Escalators!$I$44:$U$49,MATCH(BW$5,Escalators!$C$44:$C$49,0),MATCH(BW$6,Escalators!$I$43:$U$43,0)))</f>
        <v>0</v>
      </c>
      <c r="BX38" s="47">
        <f>IF($R38="",0,$O38*$AD38*INDEX(Act_Type_Repex_Splits,MATCH($I38,Act_Type_Repex,0),MATCH(BX$5,Mat_Type,0))*INDEX(Escalators!$I$44:$U$49,MATCH(BX$5,Escalators!$C$44:$C$49,0),MATCH(BX$6,Escalators!$I$43:$U$43,0)))</f>
        <v>0</v>
      </c>
      <c r="BY38" s="47">
        <f>IF($R38="",0,$O38*$AD38*INDEX(Act_Type_Repex_Splits,MATCH($I38,Act_Type_Repex,0),MATCH(BY$5,Mat_Type,0))*INDEX(Escalators!$I$44:$U$49,MATCH(BY$5,Escalators!$C$44:$C$49,0),MATCH(BY$6,Escalators!$I$43:$U$43,0)))</f>
        <v>0</v>
      </c>
      <c r="BZ38" s="47">
        <f t="shared" si="22"/>
        <v>0</v>
      </c>
      <c r="CA38" s="47">
        <f>IF($R38="",0,$P38*$AD38*INDEX(Act_Type_Repex_Splits,MATCH($I38,Act_Type_Repex,0),MATCH(CA$5,Mat_Type,0))*INDEX(Escalators!$I$44:$U$49,MATCH(CA$5,Escalators!$C$44:$C$49,0),MATCH(CA$6,Escalators!$I$43:$U$43,0)))</f>
        <v>0</v>
      </c>
      <c r="CB38" s="47">
        <f>IF($R38="",0,$P38*$AD38*INDEX(Act_Type_Repex_Splits,MATCH($I38,Act_Type_Repex,0),MATCH(CB$5,Mat_Type,0))*INDEX(Escalators!$I$44:$U$49,MATCH(CB$5,Escalators!$C$44:$C$49,0),MATCH(CB$6,Escalators!$I$43:$U$43,0)))</f>
        <v>0</v>
      </c>
      <c r="CC38" s="47">
        <f>IF($R38="",0,$P38*$AD38*INDEX(Act_Type_Repex_Splits,MATCH($I38,Act_Type_Repex,0),MATCH(CC$5,Mat_Type,0))*INDEX(Escalators!$I$44:$U$49,MATCH(CC$5,Escalators!$C$44:$C$49,0),MATCH(CC$6,Escalators!$I$43:$U$43,0)))</f>
        <v>0</v>
      </c>
      <c r="CD38" s="47">
        <f>IF($R38="",0,$P38*$AD38*INDEX(Act_Type_Repex_Splits,MATCH($I38,Act_Type_Repex,0),MATCH(CD$5,Mat_Type,0))*INDEX(Escalators!$I$44:$U$49,MATCH(CD$5,Escalators!$C$44:$C$49,0),MATCH(CD$6,Escalators!$I$43:$U$43,0)))</f>
        <v>0</v>
      </c>
      <c r="CE38" s="47">
        <f>IF($R38="",0,$P38*$AD38*INDEX(Act_Type_Repex_Splits,MATCH($I38,Act_Type_Repex,0),MATCH(CE$5,Mat_Type,0))*INDEX(Escalators!$I$44:$U$49,MATCH(CE$5,Escalators!$C$44:$C$49,0),MATCH(CE$6,Escalators!$I$43:$U$43,0)))</f>
        <v>0</v>
      </c>
      <c r="CF38" s="47">
        <f t="shared" si="23"/>
        <v>0</v>
      </c>
      <c r="CG38" s="47">
        <f>IF($R38="",0,$Q38*$AD38*INDEX(Act_Type_Repex_Splits,MATCH($I38,Act_Type_Repex,0),MATCH(CG$5,Mat_Type,0))*INDEX(Escalators!$I$44:$U$49,MATCH(CG$5,Escalators!$C$44:$C$49,0),MATCH(CG$6,Escalators!$I$43:$U$43,0)))</f>
        <v>0</v>
      </c>
      <c r="CH38" s="47">
        <f>IF($R38="",0,$Q38*$AD38*INDEX(Act_Type_Repex_Splits,MATCH($I38,Act_Type_Repex,0),MATCH(CH$5,Mat_Type,0))*INDEX(Escalators!$I$44:$U$49,MATCH(CH$5,Escalators!$C$44:$C$49,0),MATCH(CH$6,Escalators!$I$43:$U$43,0)))</f>
        <v>0</v>
      </c>
      <c r="CI38" s="47">
        <f>IF($R38="",0,$Q38*$AD38*INDEX(Act_Type_Repex_Splits,MATCH($I38,Act_Type_Repex,0),MATCH(CI$5,Mat_Type,0))*INDEX(Escalators!$I$44:$U$49,MATCH(CI$5,Escalators!$C$44:$C$49,0),MATCH(CI$6,Escalators!$I$43:$U$43,0)))</f>
        <v>0</v>
      </c>
      <c r="CJ38" s="47">
        <f>IF($R38="",0,$Q38*$AD38*INDEX(Act_Type_Repex_Splits,MATCH($I38,Act_Type_Repex,0),MATCH(CJ$5,Mat_Type,0))*INDEX(Escalators!$I$44:$U$49,MATCH(CJ$5,Escalators!$C$44:$C$49,0),MATCH(CJ$6,Escalators!$I$43:$U$43,0)))</f>
        <v>0</v>
      </c>
      <c r="CK38" s="47">
        <f>IF($R38="",0,$Q38*$AD38*INDEX(Act_Type_Repex_Splits,MATCH($I38,Act_Type_Repex,0),MATCH(CK$5,Mat_Type,0))*INDEX(Escalators!$I$44:$U$49,MATCH(CK$5,Escalators!$C$44:$C$49,0),MATCH(CK$6,Escalators!$I$43:$U$43,0)))</f>
        <v>0</v>
      </c>
      <c r="CL38" s="47">
        <f t="shared" si="24"/>
        <v>0</v>
      </c>
      <c r="CN38" s="47">
        <f>IF($R38="",0,J38*$AE38*HLOOKUP(CN$6,Escalators!$I$25:$U$30,6,FALSE))</f>
        <v>0</v>
      </c>
      <c r="CO38" s="47">
        <f>IF($R38="",0,K38*$AE38*HLOOKUP(CO$6,Escalators!$I$25:$U$30,6,FALSE))</f>
        <v>0</v>
      </c>
      <c r="CP38" s="47">
        <f>IF($R38="",0,L38*$AE38*HLOOKUP(CP$6,Escalators!$I$25:$U$30,6,FALSE))</f>
        <v>0</v>
      </c>
      <c r="CQ38" s="47">
        <f>IF($R38="",0,M38*$AE38*HLOOKUP(CQ$6,Escalators!$I$25:$U$30,6,FALSE))</f>
        <v>0</v>
      </c>
      <c r="CR38" s="47">
        <f>IF($R38="",0,N38*$AE38*HLOOKUP(CR$6,Escalators!$I$25:$U$30,6,FALSE))</f>
        <v>0</v>
      </c>
      <c r="CS38" s="47">
        <f>IF($R38="",0,O38*$AE38*HLOOKUP(CS$6,Escalators!$I$25:$U$30,6,FALSE))</f>
        <v>0</v>
      </c>
      <c r="CT38" s="47">
        <f>IF($R38="",0,P38*$AE38*HLOOKUP(CT$6,Escalators!$I$25:$U$30,6,FALSE))</f>
        <v>0</v>
      </c>
      <c r="CU38" s="47">
        <f>IF($R38="",0,Q38*$AE38*HLOOKUP(CU$6,Escalators!$I$25:$U$30,6,FALSE))</f>
        <v>0</v>
      </c>
      <c r="CW38" s="83">
        <f t="shared" si="25"/>
        <v>0</v>
      </c>
      <c r="CX38" s="83">
        <f t="shared" si="26"/>
        <v>0</v>
      </c>
      <c r="CY38" s="83">
        <f t="shared" si="27"/>
        <v>0</v>
      </c>
      <c r="CZ38" s="83">
        <f t="shared" si="28"/>
        <v>0</v>
      </c>
      <c r="DA38" s="83">
        <f t="shared" si="29"/>
        <v>0</v>
      </c>
      <c r="DB38" s="83">
        <f t="shared" si="30"/>
        <v>0</v>
      </c>
      <c r="DC38" s="83">
        <f t="shared" si="31"/>
        <v>0</v>
      </c>
      <c r="DD38" s="83">
        <f t="shared" si="32"/>
        <v>0</v>
      </c>
      <c r="DF38" s="47">
        <f t="shared" si="33"/>
        <v>0</v>
      </c>
      <c r="DG38" s="47">
        <f t="shared" si="34"/>
        <v>0</v>
      </c>
      <c r="DH38" s="47">
        <f t="shared" si="35"/>
        <v>0</v>
      </c>
      <c r="DI38" s="47">
        <f t="shared" si="36"/>
        <v>0</v>
      </c>
      <c r="DJ38" s="47">
        <f t="shared" si="37"/>
        <v>0</v>
      </c>
      <c r="DK38" s="47">
        <f t="shared" si="38"/>
        <v>0</v>
      </c>
      <c r="DL38" s="47">
        <f t="shared" si="39"/>
        <v>0</v>
      </c>
      <c r="DM38" s="47">
        <f t="shared" si="40"/>
        <v>0</v>
      </c>
      <c r="DO38" s="39"/>
    </row>
    <row r="39" spans="2:119" x14ac:dyDescent="0.3">
      <c r="T39" s="575"/>
      <c r="U39" s="575"/>
      <c r="V39" s="575"/>
      <c r="W39" s="575"/>
      <c r="X39" s="575"/>
      <c r="Y39" s="575"/>
      <c r="Z39" s="575"/>
      <c r="AA39" s="575"/>
      <c r="AB39" s="537"/>
      <c r="AC39" s="537"/>
      <c r="AD39" s="537"/>
      <c r="AE39" s="537"/>
      <c r="AF39" s="537"/>
      <c r="AG39" s="537"/>
      <c r="AH39" s="575"/>
      <c r="AI39" s="575"/>
      <c r="AJ39" s="575"/>
      <c r="AK39" s="575"/>
      <c r="AL39" s="575"/>
      <c r="AM39" s="575"/>
      <c r="AN39" s="575"/>
      <c r="AO39" s="575"/>
      <c r="AP39" s="537"/>
      <c r="AQ39" s="575"/>
      <c r="AR39" s="575"/>
      <c r="AS39" s="575"/>
      <c r="AT39" s="575"/>
      <c r="AU39" s="575"/>
      <c r="AV39" s="575"/>
      <c r="AW39" s="575"/>
      <c r="AX39" s="575"/>
      <c r="AY39" s="575"/>
      <c r="AZ39" s="575"/>
      <c r="BA39" s="575"/>
      <c r="BB39" s="575"/>
      <c r="BC39" s="575"/>
      <c r="BD39" s="575"/>
      <c r="BE39" s="575"/>
      <c r="BF39" s="575"/>
      <c r="BG39" s="575"/>
      <c r="BH39" s="575"/>
      <c r="BI39" s="575"/>
      <c r="BJ39" s="575"/>
      <c r="BK39" s="575"/>
      <c r="BL39" s="575"/>
      <c r="BM39" s="575"/>
      <c r="BN39" s="575"/>
      <c r="BO39" s="575"/>
      <c r="BP39" s="575"/>
      <c r="BQ39" s="575"/>
      <c r="BR39" s="575"/>
      <c r="BS39" s="575"/>
      <c r="BT39" s="575"/>
      <c r="BU39" s="575"/>
      <c r="BV39" s="575"/>
      <c r="BW39" s="575"/>
      <c r="BX39" s="575"/>
      <c r="BY39" s="575"/>
      <c r="BZ39" s="575"/>
      <c r="CA39" s="575"/>
      <c r="CB39" s="575"/>
      <c r="CC39" s="575"/>
      <c r="CD39" s="575"/>
      <c r="CE39" s="575"/>
      <c r="CF39" s="575"/>
      <c r="CG39" s="575"/>
      <c r="CH39" s="575"/>
      <c r="CI39" s="575"/>
      <c r="CJ39" s="575"/>
      <c r="CK39" s="575"/>
      <c r="CL39" s="575"/>
      <c r="CM39" s="537"/>
      <c r="CN39" s="575"/>
      <c r="CO39" s="575"/>
      <c r="CP39" s="575"/>
      <c r="CQ39" s="575"/>
      <c r="CR39" s="575"/>
      <c r="CS39" s="575"/>
      <c r="CT39" s="575"/>
      <c r="CU39" s="575"/>
      <c r="CV39" s="537"/>
      <c r="CW39" s="575"/>
      <c r="CX39" s="575"/>
      <c r="CY39" s="575"/>
      <c r="CZ39" s="575"/>
      <c r="DA39" s="575"/>
      <c r="DB39" s="575"/>
      <c r="DC39" s="575"/>
      <c r="DD39" s="575"/>
      <c r="DE39" s="537"/>
      <c r="DF39" s="575"/>
      <c r="DG39" s="575"/>
      <c r="DH39" s="575"/>
      <c r="DI39" s="575"/>
      <c r="DJ39" s="575"/>
      <c r="DK39" s="575"/>
      <c r="DL39" s="575"/>
      <c r="DM39" s="575"/>
    </row>
    <row r="40" spans="2:119" x14ac:dyDescent="0.3">
      <c r="DF40" s="85">
        <f t="shared" ref="DF40:DM40" si="41">IF(ISERROR((DF39-T39)/T39),0,(DF39-T39)/T39)</f>
        <v>0</v>
      </c>
      <c r="DG40" s="85">
        <f t="shared" si="41"/>
        <v>0</v>
      </c>
      <c r="DH40" s="85">
        <f t="shared" si="41"/>
        <v>0</v>
      </c>
      <c r="DI40" s="85">
        <f t="shared" si="41"/>
        <v>0</v>
      </c>
      <c r="DJ40" s="85">
        <f t="shared" si="41"/>
        <v>0</v>
      </c>
      <c r="DK40" s="85">
        <f t="shared" si="41"/>
        <v>0</v>
      </c>
      <c r="DL40" s="85">
        <f t="shared" si="41"/>
        <v>0</v>
      </c>
      <c r="DM40" s="85">
        <f t="shared" si="41"/>
        <v>0</v>
      </c>
    </row>
    <row r="41" spans="2:119" x14ac:dyDescent="0.3">
      <c r="R41" s="1" t="s">
        <v>133</v>
      </c>
      <c r="AA41" s="39">
        <f>SUM(W39:AA39)</f>
        <v>0</v>
      </c>
    </row>
    <row r="42" spans="2:119" x14ac:dyDescent="0.3">
      <c r="W42" s="39"/>
      <c r="X42" s="39"/>
      <c r="Y42" s="39"/>
      <c r="Z42" s="39"/>
      <c r="AA42" s="39"/>
    </row>
  </sheetData>
  <mergeCells count="12">
    <mergeCell ref="M1:N1"/>
    <mergeCell ref="DF5:DM5"/>
    <mergeCell ref="J5:Q5"/>
    <mergeCell ref="T5:AA5"/>
    <mergeCell ref="AH5:AO5"/>
    <mergeCell ref="CN5:CU5"/>
    <mergeCell ref="CW5:DD5"/>
    <mergeCell ref="T3:AA3"/>
    <mergeCell ref="AH3:AO3"/>
    <mergeCell ref="CN3:CU3"/>
    <mergeCell ref="DF3:DM3"/>
    <mergeCell ref="CW3:DD3"/>
  </mergeCells>
  <hyperlinks>
    <hyperlink ref="B2" location="Contents!A1" display="Table of Contents" xr:uid="{00000000-0004-0000-0B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count="5">
        <x14:dataValidation type="list" errorStyle="warning" showInputMessage="1" showErrorMessage="1" error="Invalid data entered" prompt="Select from drop down list" xr:uid="{00000000-0002-0000-0B00-000000000000}">
          <x14:formula1>
            <xm:f>Lookups!$C$16:$C$27</xm:f>
          </x14:formula1>
          <xm:sqref>F7:F38</xm:sqref>
        </x14:dataValidation>
        <x14:dataValidation type="list" errorStyle="warning" showInputMessage="1" showErrorMessage="1" error="Invalid data entered" prompt="Select from drop down list" xr:uid="{00000000-0002-0000-0B00-000001000000}">
          <x14:formula1>
            <xm:f>Lookups!$C$5:$C$13</xm:f>
          </x14:formula1>
          <xm:sqref>E7:E38</xm:sqref>
        </x14:dataValidation>
        <x14:dataValidation type="list" errorStyle="warning" allowBlank="1" showInputMessage="1" showErrorMessage="1" prompt="Select from drop down list" xr:uid="{00000000-0002-0000-0B00-000002000000}">
          <x14:formula1>
            <xm:f>Lab_Mat!$C$62:$C$98</xm:f>
          </x14:formula1>
          <xm:sqref>I7:I38</xm:sqref>
        </x14:dataValidation>
        <x14:dataValidation type="list" errorStyle="warning" showInputMessage="1" showErrorMessage="1" error="Invalid data entered" prompt="Select from drop down list" xr:uid="{00000000-0002-0000-0B00-000003000000}">
          <x14:formula1>
            <xm:f>Lookups!$I$5:$I$10</xm:f>
          </x14:formula1>
          <xm:sqref>G7:G38</xm:sqref>
        </x14:dataValidation>
        <x14:dataValidation type="list" errorStyle="warning" allowBlank="1" showInputMessage="1" showErrorMessage="1" prompt="Select from drop down list" xr:uid="{00000000-0002-0000-0B00-000004000000}">
          <x14:formula1>
            <xm:f>Lab_Mat!$C$13:$C$22</xm:f>
          </x14:formula1>
          <xm:sqref>H7:H38</xm:sqref>
        </x14:dataValidation>
      </x14:dataValidations>
    </ex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B1:DT44"/>
  <sheetViews>
    <sheetView zoomScale="70" zoomScaleNormal="70" zoomScalePageLayoutView="125" workbookViewId="0">
      <pane xSplit="4" topLeftCell="J1" activePane="topRight" state="frozen"/>
      <selection activeCell="K24" sqref="K24"/>
      <selection pane="topRight" activeCell="O27" sqref="O27"/>
    </sheetView>
  </sheetViews>
  <sheetFormatPr defaultColWidth="8.88671875" defaultRowHeight="14.4" outlineLevelRow="1" outlineLevelCol="1" x14ac:dyDescent="0.3"/>
  <cols>
    <col min="1" max="1" width="4" style="1" customWidth="1"/>
    <col min="2" max="2" width="12" style="1" customWidth="1"/>
    <col min="3" max="3" width="41.33203125" style="1" customWidth="1"/>
    <col min="4" max="4" width="22.33203125" style="1" customWidth="1"/>
    <col min="5" max="5" width="27.33203125" style="1" hidden="1" customWidth="1" outlineLevel="1"/>
    <col min="6" max="6" width="33.44140625" style="1" hidden="1" customWidth="1" outlineLevel="1"/>
    <col min="7" max="7" width="28" style="1" hidden="1" customWidth="1" outlineLevel="1"/>
    <col min="8" max="8" width="20.44140625" style="1" hidden="1" customWidth="1" outlineLevel="1"/>
    <col min="9" max="9" width="28.33203125" style="1" hidden="1" customWidth="1" outlineLevel="1"/>
    <col min="10" max="10" width="8.88671875" style="1" collapsed="1"/>
    <col min="11" max="18" width="8.88671875" style="1"/>
    <col min="19" max="19" width="3.6640625" style="1" customWidth="1"/>
    <col min="20" max="27" width="9.6640625" style="1" customWidth="1"/>
    <col min="28" max="28" width="3.44140625" style="1" customWidth="1"/>
    <col min="29" max="30" width="8.88671875" style="1"/>
    <col min="31" max="32" width="9.109375" style="1" customWidth="1"/>
    <col min="33" max="33" width="3" style="1" customWidth="1"/>
    <col min="34" max="41" width="8.88671875" style="1"/>
    <col min="42" max="42" width="2.6640625" style="1" customWidth="1"/>
    <col min="43" max="47" width="10.44140625" style="1" hidden="1" customWidth="1" outlineLevel="1"/>
    <col min="48" max="48" width="8.88671875" style="1" collapsed="1"/>
    <col min="49" max="53" width="10.44140625" style="1" hidden="1" customWidth="1" outlineLevel="1"/>
    <col min="54" max="54" width="8.88671875" style="1" collapsed="1"/>
    <col min="55" max="59" width="0" style="1" hidden="1" customWidth="1" outlineLevel="1"/>
    <col min="60" max="60" width="8.88671875" style="1" collapsed="1"/>
    <col min="61" max="65" width="10.44140625" style="1" hidden="1" customWidth="1" outlineLevel="1"/>
    <col min="66" max="66" width="8.88671875" style="1" collapsed="1"/>
    <col min="67" max="71" width="9.109375" style="1" hidden="1" customWidth="1" outlineLevel="1"/>
    <col min="72" max="72" width="8.88671875" style="1" collapsed="1"/>
    <col min="73" max="77" width="9.109375" style="1" hidden="1" customWidth="1" outlineLevel="1"/>
    <col min="78" max="78" width="8.88671875" style="1" collapsed="1"/>
    <col min="79" max="83" width="9.109375" style="1" hidden="1" customWidth="1" outlineLevel="1"/>
    <col min="84" max="84" width="8.88671875" style="1" collapsed="1"/>
    <col min="85" max="89" width="9.109375" style="1" hidden="1" customWidth="1" outlineLevel="1"/>
    <col min="90" max="90" width="8.88671875" style="1" collapsed="1"/>
    <col min="91" max="91" width="2.6640625" style="1" customWidth="1"/>
    <col min="92" max="99" width="8.88671875" style="1"/>
    <col min="100" max="100" width="2.88671875" style="1" customWidth="1"/>
    <col min="101" max="108" width="8.88671875" style="1"/>
    <col min="109" max="109" width="2.88671875" style="1" customWidth="1"/>
    <col min="110" max="16384" width="8.88671875" style="1"/>
  </cols>
  <sheetData>
    <row r="1" spans="2:124" ht="18" x14ac:dyDescent="0.35">
      <c r="B1" s="10" t="s">
        <v>2</v>
      </c>
    </row>
    <row r="2" spans="2:124" x14ac:dyDescent="0.3">
      <c r="B2" s="25" t="s">
        <v>6</v>
      </c>
      <c r="M2" s="596" t="s">
        <v>749</v>
      </c>
      <c r="N2" s="596"/>
    </row>
    <row r="3" spans="2:124" x14ac:dyDescent="0.3">
      <c r="R3" s="67"/>
      <c r="T3" s="592"/>
      <c r="U3" s="592"/>
      <c r="V3" s="592"/>
      <c r="W3" s="592"/>
      <c r="X3" s="592"/>
      <c r="Y3" s="592"/>
      <c r="Z3" s="592"/>
      <c r="AA3" s="592"/>
      <c r="AH3" s="592"/>
      <c r="AI3" s="592"/>
      <c r="AJ3" s="592"/>
      <c r="AK3" s="592"/>
      <c r="AL3" s="592"/>
      <c r="AM3" s="592"/>
      <c r="AN3" s="592"/>
      <c r="AO3" s="592"/>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N3" s="592"/>
      <c r="CO3" s="592"/>
      <c r="CP3" s="592"/>
      <c r="CQ3" s="592"/>
      <c r="CR3" s="592"/>
      <c r="CS3" s="592"/>
      <c r="CT3" s="592"/>
      <c r="CU3" s="592"/>
      <c r="CW3" s="592"/>
      <c r="CX3" s="592"/>
      <c r="CY3" s="592"/>
      <c r="CZ3" s="592"/>
      <c r="DA3" s="592"/>
      <c r="DB3" s="592"/>
      <c r="DC3" s="592"/>
      <c r="DD3" s="592"/>
      <c r="DF3" s="592"/>
      <c r="DG3" s="592"/>
      <c r="DH3" s="592"/>
      <c r="DI3" s="592"/>
      <c r="DJ3" s="592"/>
      <c r="DK3" s="592"/>
      <c r="DL3" s="592"/>
      <c r="DM3" s="592"/>
    </row>
    <row r="4" spans="2:124" hidden="1" outlineLevel="1" x14ac:dyDescent="0.3">
      <c r="R4" s="67"/>
      <c r="T4" s="81"/>
      <c r="U4" s="224"/>
      <c r="V4" s="333"/>
      <c r="W4" s="81"/>
      <c r="X4" s="81"/>
      <c r="Y4" s="81"/>
      <c r="Z4" s="81"/>
      <c r="AA4" s="81"/>
      <c r="AC4" s="1" t="s">
        <v>174</v>
      </c>
      <c r="AD4" s="1" t="s">
        <v>173</v>
      </c>
      <c r="AE4" s="1" t="s">
        <v>297</v>
      </c>
      <c r="AF4" s="1" t="s">
        <v>175</v>
      </c>
      <c r="AH4" s="81"/>
      <c r="AI4" s="224"/>
      <c r="AJ4" s="333"/>
      <c r="AK4" s="81"/>
      <c r="AL4" s="81"/>
      <c r="AM4" s="81"/>
      <c r="AN4" s="81"/>
      <c r="AO4" s="81"/>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N4" s="81"/>
      <c r="CO4" s="224"/>
      <c r="CP4" s="333"/>
      <c r="CQ4" s="81"/>
      <c r="CR4" s="81"/>
      <c r="CS4" s="81"/>
      <c r="CT4" s="81"/>
      <c r="CU4" s="81"/>
      <c r="CW4" s="94"/>
      <c r="CX4" s="224"/>
      <c r="CY4" s="333"/>
      <c r="CZ4" s="94"/>
      <c r="DA4" s="94"/>
      <c r="DB4" s="94"/>
      <c r="DC4" s="94"/>
      <c r="DD4" s="94"/>
      <c r="DF4" s="81"/>
      <c r="DG4" s="224"/>
      <c r="DH4" s="333"/>
      <c r="DI4" s="81"/>
      <c r="DJ4" s="81"/>
      <c r="DK4" s="81"/>
      <c r="DL4" s="81"/>
      <c r="DM4" s="81"/>
    </row>
    <row r="5" spans="2:124" ht="57.6" collapsed="1" x14ac:dyDescent="0.3">
      <c r="J5" s="589" t="s">
        <v>385</v>
      </c>
      <c r="K5" s="590"/>
      <c r="L5" s="590"/>
      <c r="M5" s="590"/>
      <c r="N5" s="590"/>
      <c r="O5" s="590"/>
      <c r="P5" s="590"/>
      <c r="Q5" s="591"/>
      <c r="R5" s="9" t="s">
        <v>377</v>
      </c>
      <c r="T5" s="589" t="s">
        <v>386</v>
      </c>
      <c r="U5" s="590"/>
      <c r="V5" s="590"/>
      <c r="W5" s="590"/>
      <c r="X5" s="590"/>
      <c r="Y5" s="590"/>
      <c r="Z5" s="590"/>
      <c r="AA5" s="591"/>
      <c r="AC5" s="9" t="s">
        <v>381</v>
      </c>
      <c r="AD5" s="9" t="s">
        <v>382</v>
      </c>
      <c r="AE5" s="9" t="s">
        <v>383</v>
      </c>
      <c r="AF5" s="9" t="s">
        <v>384</v>
      </c>
      <c r="AG5" s="58"/>
      <c r="AH5" s="589" t="s">
        <v>174</v>
      </c>
      <c r="AI5" s="590"/>
      <c r="AJ5" s="590"/>
      <c r="AK5" s="590"/>
      <c r="AL5" s="590"/>
      <c r="AM5" s="590"/>
      <c r="AN5" s="590"/>
      <c r="AO5" s="591"/>
      <c r="AP5" s="58"/>
      <c r="AQ5" s="9" t="s">
        <v>180</v>
      </c>
      <c r="AR5" s="9" t="s">
        <v>181</v>
      </c>
      <c r="AS5" s="9" t="s">
        <v>182</v>
      </c>
      <c r="AT5" s="9" t="s">
        <v>183</v>
      </c>
      <c r="AU5" s="9" t="s">
        <v>5</v>
      </c>
      <c r="AV5" s="9" t="s">
        <v>173</v>
      </c>
      <c r="AW5" s="9" t="s">
        <v>180</v>
      </c>
      <c r="AX5" s="9" t="s">
        <v>181</v>
      </c>
      <c r="AY5" s="9" t="s">
        <v>182</v>
      </c>
      <c r="AZ5" s="9" t="s">
        <v>183</v>
      </c>
      <c r="BA5" s="9" t="s">
        <v>5</v>
      </c>
      <c r="BB5" s="9" t="s">
        <v>173</v>
      </c>
      <c r="BC5" s="9" t="s">
        <v>180</v>
      </c>
      <c r="BD5" s="9" t="s">
        <v>181</v>
      </c>
      <c r="BE5" s="9" t="s">
        <v>182</v>
      </c>
      <c r="BF5" s="9" t="s">
        <v>183</v>
      </c>
      <c r="BG5" s="9" t="s">
        <v>5</v>
      </c>
      <c r="BH5" s="9" t="s">
        <v>173</v>
      </c>
      <c r="BI5" s="9" t="s">
        <v>180</v>
      </c>
      <c r="BJ5" s="9" t="s">
        <v>181</v>
      </c>
      <c r="BK5" s="9" t="s">
        <v>182</v>
      </c>
      <c r="BL5" s="9" t="s">
        <v>183</v>
      </c>
      <c r="BM5" s="9" t="s">
        <v>5</v>
      </c>
      <c r="BN5" s="9" t="s">
        <v>173</v>
      </c>
      <c r="BO5" s="9" t="s">
        <v>180</v>
      </c>
      <c r="BP5" s="9" t="s">
        <v>181</v>
      </c>
      <c r="BQ5" s="9" t="s">
        <v>182</v>
      </c>
      <c r="BR5" s="9" t="s">
        <v>183</v>
      </c>
      <c r="BS5" s="9" t="s">
        <v>5</v>
      </c>
      <c r="BT5" s="9" t="s">
        <v>173</v>
      </c>
      <c r="BU5" s="9" t="s">
        <v>180</v>
      </c>
      <c r="BV5" s="9" t="s">
        <v>181</v>
      </c>
      <c r="BW5" s="9" t="s">
        <v>182</v>
      </c>
      <c r="BX5" s="9" t="s">
        <v>183</v>
      </c>
      <c r="BY5" s="9" t="s">
        <v>5</v>
      </c>
      <c r="BZ5" s="9" t="s">
        <v>173</v>
      </c>
      <c r="CA5" s="9" t="s">
        <v>180</v>
      </c>
      <c r="CB5" s="9" t="s">
        <v>181</v>
      </c>
      <c r="CC5" s="9" t="s">
        <v>182</v>
      </c>
      <c r="CD5" s="9" t="s">
        <v>183</v>
      </c>
      <c r="CE5" s="9" t="s">
        <v>5</v>
      </c>
      <c r="CF5" s="9" t="s">
        <v>173</v>
      </c>
      <c r="CG5" s="9" t="s">
        <v>180</v>
      </c>
      <c r="CH5" s="9" t="s">
        <v>181</v>
      </c>
      <c r="CI5" s="9" t="s">
        <v>182</v>
      </c>
      <c r="CJ5" s="9" t="s">
        <v>183</v>
      </c>
      <c r="CK5" s="9" t="s">
        <v>5</v>
      </c>
      <c r="CL5" s="9" t="s">
        <v>173</v>
      </c>
      <c r="CM5" s="58"/>
      <c r="CN5" s="589" t="s">
        <v>297</v>
      </c>
      <c r="CO5" s="590"/>
      <c r="CP5" s="590"/>
      <c r="CQ5" s="590"/>
      <c r="CR5" s="590"/>
      <c r="CS5" s="590"/>
      <c r="CT5" s="590"/>
      <c r="CU5" s="591"/>
      <c r="CV5" s="58"/>
      <c r="CW5" s="589" t="s">
        <v>175</v>
      </c>
      <c r="CX5" s="590"/>
      <c r="CY5" s="590"/>
      <c r="CZ5" s="590"/>
      <c r="DA5" s="590"/>
      <c r="DB5" s="590"/>
      <c r="DC5" s="590"/>
      <c r="DD5" s="591"/>
      <c r="DE5" s="58"/>
      <c r="DF5" s="589" t="s">
        <v>379</v>
      </c>
      <c r="DG5" s="590"/>
      <c r="DH5" s="590"/>
      <c r="DI5" s="590"/>
      <c r="DJ5" s="590"/>
      <c r="DK5" s="590"/>
      <c r="DL5" s="590"/>
      <c r="DM5" s="591"/>
    </row>
    <row r="6" spans="2:124" x14ac:dyDescent="0.3">
      <c r="B6" s="8" t="s">
        <v>23</v>
      </c>
      <c r="C6" s="8" t="s">
        <v>24</v>
      </c>
      <c r="D6" s="17" t="s">
        <v>98</v>
      </c>
      <c r="E6" s="17" t="s">
        <v>76</v>
      </c>
      <c r="F6" s="17" t="s">
        <v>77</v>
      </c>
      <c r="G6" s="17" t="s">
        <v>322</v>
      </c>
      <c r="H6" s="17" t="s">
        <v>212</v>
      </c>
      <c r="I6" s="17" t="s">
        <v>177</v>
      </c>
      <c r="J6" s="335">
        <f>CP_Yr_4</f>
        <v>43800</v>
      </c>
      <c r="K6" s="335">
        <f>CP_Yr_5</f>
        <v>44166</v>
      </c>
      <c r="L6" s="335">
        <f>Stub</f>
        <v>44377</v>
      </c>
      <c r="M6" s="335">
        <f>Yr_1</f>
        <v>44742</v>
      </c>
      <c r="N6" s="335">
        <f>Yr_2</f>
        <v>45107</v>
      </c>
      <c r="O6" s="335">
        <f>Yr_3</f>
        <v>45473</v>
      </c>
      <c r="P6" s="335">
        <f>Yr_4</f>
        <v>45838</v>
      </c>
      <c r="Q6" s="335">
        <f>Yr_5</f>
        <v>46203</v>
      </c>
      <c r="R6" s="17"/>
      <c r="T6" s="335">
        <f>CP_Yr_4</f>
        <v>43800</v>
      </c>
      <c r="U6" s="335">
        <f>CP_Yr_5</f>
        <v>44166</v>
      </c>
      <c r="V6" s="335">
        <f>Stub</f>
        <v>44377</v>
      </c>
      <c r="W6" s="335">
        <f>Yr_1</f>
        <v>44742</v>
      </c>
      <c r="X6" s="335">
        <f>Yr_2</f>
        <v>45107</v>
      </c>
      <c r="Y6" s="335">
        <f>Yr_3</f>
        <v>45473</v>
      </c>
      <c r="Z6" s="335">
        <f>Yr_4</f>
        <v>45838</v>
      </c>
      <c r="AA6" s="335">
        <f>Yr_5</f>
        <v>46203</v>
      </c>
      <c r="AB6" s="336"/>
      <c r="AC6" s="335"/>
      <c r="AD6" s="335"/>
      <c r="AE6" s="335"/>
      <c r="AF6" s="335"/>
      <c r="AG6" s="226"/>
      <c r="AH6" s="335">
        <f>CP_Yr_4</f>
        <v>43800</v>
      </c>
      <c r="AI6" s="335">
        <f>CP_Yr_5</f>
        <v>44166</v>
      </c>
      <c r="AJ6" s="335">
        <f>Stub</f>
        <v>44377</v>
      </c>
      <c r="AK6" s="335">
        <f>Yr_1</f>
        <v>44742</v>
      </c>
      <c r="AL6" s="335">
        <f>Yr_2</f>
        <v>45107</v>
      </c>
      <c r="AM6" s="335">
        <f>Yr_3</f>
        <v>45473</v>
      </c>
      <c r="AN6" s="335">
        <f>Yr_4</f>
        <v>45838</v>
      </c>
      <c r="AO6" s="335">
        <f>Yr_5</f>
        <v>46203</v>
      </c>
      <c r="AP6" s="336"/>
      <c r="AQ6" s="335">
        <f t="shared" ref="AQ6:AV6" si="0">CP_Yr_4</f>
        <v>43800</v>
      </c>
      <c r="AR6" s="335">
        <f t="shared" si="0"/>
        <v>43800</v>
      </c>
      <c r="AS6" s="335">
        <f t="shared" si="0"/>
        <v>43800</v>
      </c>
      <c r="AT6" s="335">
        <f t="shared" si="0"/>
        <v>43800</v>
      </c>
      <c r="AU6" s="335">
        <f t="shared" si="0"/>
        <v>43800</v>
      </c>
      <c r="AV6" s="335">
        <f t="shared" si="0"/>
        <v>43800</v>
      </c>
      <c r="AW6" s="335">
        <f t="shared" ref="AW6:BB6" si="1">CP_Yr_5</f>
        <v>44166</v>
      </c>
      <c r="AX6" s="335">
        <f t="shared" si="1"/>
        <v>44166</v>
      </c>
      <c r="AY6" s="335">
        <f t="shared" si="1"/>
        <v>44166</v>
      </c>
      <c r="AZ6" s="335">
        <f t="shared" si="1"/>
        <v>44166</v>
      </c>
      <c r="BA6" s="335">
        <f t="shared" si="1"/>
        <v>44166</v>
      </c>
      <c r="BB6" s="335">
        <f t="shared" si="1"/>
        <v>44166</v>
      </c>
      <c r="BC6" s="335">
        <f t="shared" ref="BC6:BH6" si="2">Stub</f>
        <v>44377</v>
      </c>
      <c r="BD6" s="335">
        <f t="shared" si="2"/>
        <v>44377</v>
      </c>
      <c r="BE6" s="335">
        <f t="shared" si="2"/>
        <v>44377</v>
      </c>
      <c r="BF6" s="335">
        <f t="shared" si="2"/>
        <v>44377</v>
      </c>
      <c r="BG6" s="335">
        <f t="shared" si="2"/>
        <v>44377</v>
      </c>
      <c r="BH6" s="335">
        <f t="shared" si="2"/>
        <v>44377</v>
      </c>
      <c r="BI6" s="335">
        <f t="shared" ref="BI6:BN6" si="3">Yr_1</f>
        <v>44742</v>
      </c>
      <c r="BJ6" s="335">
        <f t="shared" si="3"/>
        <v>44742</v>
      </c>
      <c r="BK6" s="335">
        <f t="shared" si="3"/>
        <v>44742</v>
      </c>
      <c r="BL6" s="335">
        <f t="shared" si="3"/>
        <v>44742</v>
      </c>
      <c r="BM6" s="335">
        <f t="shared" si="3"/>
        <v>44742</v>
      </c>
      <c r="BN6" s="335">
        <f t="shared" si="3"/>
        <v>44742</v>
      </c>
      <c r="BO6" s="335">
        <f t="shared" ref="BO6:BT6" si="4">Yr_2</f>
        <v>45107</v>
      </c>
      <c r="BP6" s="335">
        <f t="shared" si="4"/>
        <v>45107</v>
      </c>
      <c r="BQ6" s="335">
        <f t="shared" si="4"/>
        <v>45107</v>
      </c>
      <c r="BR6" s="335">
        <f t="shared" si="4"/>
        <v>45107</v>
      </c>
      <c r="BS6" s="335">
        <f t="shared" si="4"/>
        <v>45107</v>
      </c>
      <c r="BT6" s="335">
        <f t="shared" si="4"/>
        <v>45107</v>
      </c>
      <c r="BU6" s="335">
        <f t="shared" ref="BU6:BZ6" si="5">Yr_3</f>
        <v>45473</v>
      </c>
      <c r="BV6" s="335">
        <f t="shared" si="5"/>
        <v>45473</v>
      </c>
      <c r="BW6" s="335">
        <f t="shared" si="5"/>
        <v>45473</v>
      </c>
      <c r="BX6" s="335">
        <f t="shared" si="5"/>
        <v>45473</v>
      </c>
      <c r="BY6" s="335">
        <f t="shared" si="5"/>
        <v>45473</v>
      </c>
      <c r="BZ6" s="335">
        <f t="shared" si="5"/>
        <v>45473</v>
      </c>
      <c r="CA6" s="335">
        <f t="shared" ref="CA6:CF6" si="6">Yr_4</f>
        <v>45838</v>
      </c>
      <c r="CB6" s="335">
        <f t="shared" si="6"/>
        <v>45838</v>
      </c>
      <c r="CC6" s="335">
        <f t="shared" si="6"/>
        <v>45838</v>
      </c>
      <c r="CD6" s="335">
        <f t="shared" si="6"/>
        <v>45838</v>
      </c>
      <c r="CE6" s="335">
        <f t="shared" si="6"/>
        <v>45838</v>
      </c>
      <c r="CF6" s="335">
        <f t="shared" si="6"/>
        <v>45838</v>
      </c>
      <c r="CG6" s="335">
        <f t="shared" ref="CG6:CL6" si="7">Yr_5</f>
        <v>46203</v>
      </c>
      <c r="CH6" s="335">
        <f t="shared" si="7"/>
        <v>46203</v>
      </c>
      <c r="CI6" s="335">
        <f t="shared" si="7"/>
        <v>46203</v>
      </c>
      <c r="CJ6" s="335">
        <f t="shared" si="7"/>
        <v>46203</v>
      </c>
      <c r="CK6" s="335">
        <f t="shared" si="7"/>
        <v>46203</v>
      </c>
      <c r="CL6" s="335">
        <f t="shared" si="7"/>
        <v>46203</v>
      </c>
      <c r="CM6" s="336"/>
      <c r="CN6" s="335">
        <f>CP_Yr_4</f>
        <v>43800</v>
      </c>
      <c r="CO6" s="335">
        <f>CP_Yr_5</f>
        <v>44166</v>
      </c>
      <c r="CP6" s="335">
        <f>Stub</f>
        <v>44377</v>
      </c>
      <c r="CQ6" s="335">
        <f>Yr_1</f>
        <v>44742</v>
      </c>
      <c r="CR6" s="335">
        <f>Yr_2</f>
        <v>45107</v>
      </c>
      <c r="CS6" s="335">
        <f>Yr_3</f>
        <v>45473</v>
      </c>
      <c r="CT6" s="335">
        <f>Yr_4</f>
        <v>45838</v>
      </c>
      <c r="CU6" s="335">
        <f>Yr_5</f>
        <v>46203</v>
      </c>
      <c r="CV6" s="336"/>
      <c r="CW6" s="335">
        <f>CP_Yr_4</f>
        <v>43800</v>
      </c>
      <c r="CX6" s="335">
        <f>CP_Yr_5</f>
        <v>44166</v>
      </c>
      <c r="CY6" s="335">
        <f>Stub</f>
        <v>44377</v>
      </c>
      <c r="CZ6" s="335">
        <f>Yr_1</f>
        <v>44742</v>
      </c>
      <c r="DA6" s="335">
        <f>Yr_2</f>
        <v>45107</v>
      </c>
      <c r="DB6" s="335">
        <f>Yr_3</f>
        <v>45473</v>
      </c>
      <c r="DC6" s="335">
        <f>Yr_4</f>
        <v>45838</v>
      </c>
      <c r="DD6" s="335">
        <f>Yr_5</f>
        <v>46203</v>
      </c>
      <c r="DE6" s="336"/>
      <c r="DF6" s="335">
        <f>CP_Yr_4</f>
        <v>43800</v>
      </c>
      <c r="DG6" s="335">
        <f>CP_Yr_5</f>
        <v>44166</v>
      </c>
      <c r="DH6" s="335">
        <f>Stub</f>
        <v>44377</v>
      </c>
      <c r="DI6" s="335">
        <f>Yr_1</f>
        <v>44742</v>
      </c>
      <c r="DJ6" s="335">
        <f>Yr_2</f>
        <v>45107</v>
      </c>
      <c r="DK6" s="335">
        <f>Yr_3</f>
        <v>45473</v>
      </c>
      <c r="DL6" s="335">
        <f>Yr_4</f>
        <v>45838</v>
      </c>
      <c r="DM6" s="335">
        <f>Yr_5</f>
        <v>46203</v>
      </c>
    </row>
    <row r="7" spans="2:124" x14ac:dyDescent="0.3">
      <c r="B7" s="7"/>
      <c r="C7" s="7" t="s">
        <v>258</v>
      </c>
      <c r="D7" s="7" t="s">
        <v>102</v>
      </c>
      <c r="E7" s="7" t="s">
        <v>44</v>
      </c>
      <c r="F7" s="7" t="s">
        <v>52</v>
      </c>
      <c r="G7" s="7" t="s">
        <v>150</v>
      </c>
      <c r="H7" s="7" t="s">
        <v>102</v>
      </c>
      <c r="I7" s="7" t="s">
        <v>190</v>
      </c>
      <c r="J7" s="45"/>
      <c r="K7" s="45"/>
      <c r="L7" s="45"/>
      <c r="M7" s="573"/>
      <c r="N7" s="573"/>
      <c r="O7" s="573"/>
      <c r="P7" s="573"/>
      <c r="Q7" s="573"/>
      <c r="R7" s="574"/>
      <c r="S7" s="537"/>
      <c r="T7" s="573"/>
      <c r="U7" s="573"/>
      <c r="V7" s="573"/>
      <c r="W7" s="573"/>
      <c r="X7" s="573"/>
      <c r="Y7" s="573"/>
      <c r="Z7" s="573"/>
      <c r="AA7" s="573"/>
      <c r="AB7" s="537"/>
      <c r="AC7" s="574"/>
      <c r="AD7" s="574"/>
      <c r="AE7" s="574"/>
      <c r="AF7" s="574"/>
      <c r="AG7" s="537"/>
      <c r="AH7" s="573"/>
      <c r="AI7" s="573"/>
      <c r="AJ7" s="573"/>
      <c r="AK7" s="573"/>
      <c r="AL7" s="573"/>
      <c r="AM7" s="573"/>
      <c r="AN7" s="573"/>
      <c r="AO7" s="573"/>
      <c r="AP7" s="537"/>
      <c r="AQ7" s="573"/>
      <c r="AR7" s="573"/>
      <c r="AS7" s="573"/>
      <c r="AT7" s="573"/>
      <c r="AU7" s="573"/>
      <c r="AV7" s="573"/>
      <c r="AW7" s="573"/>
      <c r="AX7" s="573"/>
      <c r="AY7" s="573"/>
      <c r="AZ7" s="573"/>
      <c r="BA7" s="573"/>
      <c r="BB7" s="573"/>
      <c r="BC7" s="573"/>
      <c r="BD7" s="573"/>
      <c r="BE7" s="573"/>
      <c r="BF7" s="573"/>
      <c r="BG7" s="573"/>
      <c r="BH7" s="573"/>
      <c r="BI7" s="573"/>
      <c r="BJ7" s="573"/>
      <c r="BK7" s="573"/>
      <c r="BL7" s="573"/>
      <c r="BM7" s="573"/>
      <c r="BN7" s="573"/>
      <c r="BO7" s="573"/>
      <c r="BP7" s="573"/>
      <c r="BQ7" s="573"/>
      <c r="BR7" s="573"/>
      <c r="BS7" s="573"/>
      <c r="BT7" s="573"/>
      <c r="BU7" s="573"/>
      <c r="BV7" s="573"/>
      <c r="BW7" s="573"/>
      <c r="BX7" s="573"/>
      <c r="BY7" s="573"/>
      <c r="BZ7" s="573"/>
      <c r="CA7" s="573"/>
      <c r="CB7" s="573"/>
      <c r="CC7" s="573"/>
      <c r="CD7" s="573"/>
      <c r="CE7" s="573"/>
      <c r="CF7" s="573"/>
      <c r="CG7" s="573"/>
      <c r="CH7" s="573"/>
      <c r="CI7" s="573"/>
      <c r="CJ7" s="573"/>
      <c r="CK7" s="573"/>
      <c r="CL7" s="573"/>
      <c r="CM7" s="537"/>
      <c r="CN7" s="573"/>
      <c r="CO7" s="573"/>
      <c r="CP7" s="573"/>
      <c r="CQ7" s="573"/>
      <c r="CR7" s="573"/>
      <c r="CS7" s="573"/>
      <c r="CT7" s="573"/>
      <c r="CU7" s="573"/>
      <c r="CV7" s="537"/>
      <c r="CW7" s="573"/>
      <c r="CX7" s="573"/>
      <c r="CY7" s="573"/>
      <c r="CZ7" s="573"/>
      <c r="DA7" s="573"/>
      <c r="DB7" s="573"/>
      <c r="DC7" s="573"/>
      <c r="DD7" s="573"/>
      <c r="DE7" s="537"/>
      <c r="DF7" s="573"/>
      <c r="DG7" s="573"/>
      <c r="DH7" s="573"/>
      <c r="DI7" s="573"/>
      <c r="DJ7" s="573"/>
      <c r="DK7" s="573"/>
      <c r="DL7" s="573"/>
      <c r="DM7" s="573"/>
      <c r="DO7" s="39"/>
      <c r="DP7" s="39"/>
      <c r="DQ7" s="39"/>
      <c r="DR7" s="39"/>
      <c r="DS7" s="39"/>
      <c r="DT7" s="39"/>
    </row>
    <row r="8" spans="2:124" x14ac:dyDescent="0.3">
      <c r="B8" s="7"/>
      <c r="C8" s="7" t="s">
        <v>259</v>
      </c>
      <c r="D8" s="7" t="s">
        <v>102</v>
      </c>
      <c r="E8" s="7" t="s">
        <v>44</v>
      </c>
      <c r="F8" s="7" t="s">
        <v>52</v>
      </c>
      <c r="G8" s="7" t="s">
        <v>150</v>
      </c>
      <c r="H8" s="7" t="s">
        <v>102</v>
      </c>
      <c r="I8" s="7" t="s">
        <v>190</v>
      </c>
      <c r="J8" s="45"/>
      <c r="K8" s="45"/>
      <c r="L8" s="45"/>
      <c r="M8" s="573"/>
      <c r="N8" s="573"/>
      <c r="O8" s="573"/>
      <c r="P8" s="573"/>
      <c r="Q8" s="573"/>
      <c r="R8" s="574"/>
      <c r="S8" s="537"/>
      <c r="T8" s="573"/>
      <c r="U8" s="573"/>
      <c r="V8" s="573"/>
      <c r="W8" s="573"/>
      <c r="X8" s="573"/>
      <c r="Y8" s="573"/>
      <c r="Z8" s="573"/>
      <c r="AA8" s="573"/>
      <c r="AB8" s="537"/>
      <c r="AC8" s="574"/>
      <c r="AD8" s="574"/>
      <c r="AE8" s="574"/>
      <c r="AF8" s="574"/>
      <c r="AG8" s="537"/>
      <c r="AH8" s="573"/>
      <c r="AI8" s="573"/>
      <c r="AJ8" s="573"/>
      <c r="AK8" s="573"/>
      <c r="AL8" s="573"/>
      <c r="AM8" s="573"/>
      <c r="AN8" s="573"/>
      <c r="AO8" s="573"/>
      <c r="AP8" s="537"/>
      <c r="AQ8" s="573"/>
      <c r="AR8" s="573"/>
      <c r="AS8" s="573"/>
      <c r="AT8" s="573"/>
      <c r="AU8" s="573"/>
      <c r="AV8" s="573"/>
      <c r="AW8" s="573"/>
      <c r="AX8" s="573"/>
      <c r="AY8" s="573"/>
      <c r="AZ8" s="573"/>
      <c r="BA8" s="573"/>
      <c r="BB8" s="573"/>
      <c r="BC8" s="573"/>
      <c r="BD8" s="573"/>
      <c r="BE8" s="573"/>
      <c r="BF8" s="573"/>
      <c r="BG8" s="573"/>
      <c r="BH8" s="573"/>
      <c r="BI8" s="573"/>
      <c r="BJ8" s="573"/>
      <c r="BK8" s="573"/>
      <c r="BL8" s="573"/>
      <c r="BM8" s="573"/>
      <c r="BN8" s="573"/>
      <c r="BO8" s="573"/>
      <c r="BP8" s="573"/>
      <c r="BQ8" s="573"/>
      <c r="BR8" s="573"/>
      <c r="BS8" s="573"/>
      <c r="BT8" s="573"/>
      <c r="BU8" s="573"/>
      <c r="BV8" s="573"/>
      <c r="BW8" s="573"/>
      <c r="BX8" s="573"/>
      <c r="BY8" s="573"/>
      <c r="BZ8" s="573"/>
      <c r="CA8" s="573"/>
      <c r="CB8" s="573"/>
      <c r="CC8" s="573"/>
      <c r="CD8" s="573"/>
      <c r="CE8" s="573"/>
      <c r="CF8" s="573"/>
      <c r="CG8" s="573"/>
      <c r="CH8" s="573"/>
      <c r="CI8" s="573"/>
      <c r="CJ8" s="573"/>
      <c r="CK8" s="573"/>
      <c r="CL8" s="573"/>
      <c r="CM8" s="537"/>
      <c r="CN8" s="573"/>
      <c r="CO8" s="573"/>
      <c r="CP8" s="573"/>
      <c r="CQ8" s="573"/>
      <c r="CR8" s="573"/>
      <c r="CS8" s="573"/>
      <c r="CT8" s="573"/>
      <c r="CU8" s="573"/>
      <c r="CV8" s="537"/>
      <c r="CW8" s="573"/>
      <c r="CX8" s="573"/>
      <c r="CY8" s="573"/>
      <c r="CZ8" s="573"/>
      <c r="DA8" s="573"/>
      <c r="DB8" s="573"/>
      <c r="DC8" s="573"/>
      <c r="DD8" s="573"/>
      <c r="DE8" s="537"/>
      <c r="DF8" s="573"/>
      <c r="DG8" s="573"/>
      <c r="DH8" s="573"/>
      <c r="DI8" s="573"/>
      <c r="DJ8" s="573"/>
      <c r="DK8" s="573"/>
      <c r="DL8" s="573"/>
      <c r="DM8" s="573"/>
      <c r="DO8" s="39"/>
      <c r="DP8" s="39"/>
      <c r="DQ8" s="39"/>
      <c r="DR8" s="39"/>
      <c r="DS8" s="39"/>
      <c r="DT8" s="39"/>
    </row>
    <row r="9" spans="2:124" x14ac:dyDescent="0.3">
      <c r="B9" s="7"/>
      <c r="C9" s="7" t="s">
        <v>260</v>
      </c>
      <c r="D9" s="7" t="s">
        <v>102</v>
      </c>
      <c r="E9" s="7" t="s">
        <v>45</v>
      </c>
      <c r="F9" s="7" t="s">
        <v>52</v>
      </c>
      <c r="G9" s="7" t="s">
        <v>150</v>
      </c>
      <c r="H9" s="7" t="s">
        <v>102</v>
      </c>
      <c r="I9" s="7" t="s">
        <v>190</v>
      </c>
      <c r="J9" s="45"/>
      <c r="K9" s="45"/>
      <c r="L9" s="45"/>
      <c r="M9" s="573"/>
      <c r="N9" s="573"/>
      <c r="O9" s="573"/>
      <c r="P9" s="573"/>
      <c r="Q9" s="573"/>
      <c r="R9" s="574"/>
      <c r="S9" s="537"/>
      <c r="T9" s="573"/>
      <c r="U9" s="573"/>
      <c r="V9" s="573"/>
      <c r="W9" s="573"/>
      <c r="X9" s="573"/>
      <c r="Y9" s="573"/>
      <c r="Z9" s="573"/>
      <c r="AA9" s="573"/>
      <c r="AB9" s="537"/>
      <c r="AC9" s="574"/>
      <c r="AD9" s="574"/>
      <c r="AE9" s="574"/>
      <c r="AF9" s="574"/>
      <c r="AG9" s="537"/>
      <c r="AH9" s="573"/>
      <c r="AI9" s="573"/>
      <c r="AJ9" s="573"/>
      <c r="AK9" s="573"/>
      <c r="AL9" s="573"/>
      <c r="AM9" s="573"/>
      <c r="AN9" s="573"/>
      <c r="AO9" s="573"/>
      <c r="AP9" s="537"/>
      <c r="AQ9" s="573"/>
      <c r="AR9" s="573"/>
      <c r="AS9" s="573"/>
      <c r="AT9" s="573"/>
      <c r="AU9" s="573"/>
      <c r="AV9" s="573"/>
      <c r="AW9" s="573"/>
      <c r="AX9" s="573"/>
      <c r="AY9" s="573"/>
      <c r="AZ9" s="573"/>
      <c r="BA9" s="573"/>
      <c r="BB9" s="573"/>
      <c r="BC9" s="573"/>
      <c r="BD9" s="573"/>
      <c r="BE9" s="573"/>
      <c r="BF9" s="573"/>
      <c r="BG9" s="573"/>
      <c r="BH9" s="573"/>
      <c r="BI9" s="573"/>
      <c r="BJ9" s="573"/>
      <c r="BK9" s="573"/>
      <c r="BL9" s="573"/>
      <c r="BM9" s="573"/>
      <c r="BN9" s="573"/>
      <c r="BO9" s="573"/>
      <c r="BP9" s="573"/>
      <c r="BQ9" s="573"/>
      <c r="BR9" s="573"/>
      <c r="BS9" s="573"/>
      <c r="BT9" s="573"/>
      <c r="BU9" s="573"/>
      <c r="BV9" s="573"/>
      <c r="BW9" s="573"/>
      <c r="BX9" s="573"/>
      <c r="BY9" s="573"/>
      <c r="BZ9" s="573"/>
      <c r="CA9" s="573"/>
      <c r="CB9" s="573"/>
      <c r="CC9" s="573"/>
      <c r="CD9" s="573"/>
      <c r="CE9" s="573"/>
      <c r="CF9" s="573"/>
      <c r="CG9" s="573"/>
      <c r="CH9" s="573"/>
      <c r="CI9" s="573"/>
      <c r="CJ9" s="573"/>
      <c r="CK9" s="573"/>
      <c r="CL9" s="573"/>
      <c r="CM9" s="537"/>
      <c r="CN9" s="573"/>
      <c r="CO9" s="573"/>
      <c r="CP9" s="573"/>
      <c r="CQ9" s="573"/>
      <c r="CR9" s="573"/>
      <c r="CS9" s="573"/>
      <c r="CT9" s="573"/>
      <c r="CU9" s="573"/>
      <c r="CV9" s="537"/>
      <c r="CW9" s="573"/>
      <c r="CX9" s="573"/>
      <c r="CY9" s="573"/>
      <c r="CZ9" s="573"/>
      <c r="DA9" s="573"/>
      <c r="DB9" s="573"/>
      <c r="DC9" s="573"/>
      <c r="DD9" s="573"/>
      <c r="DE9" s="537"/>
      <c r="DF9" s="573"/>
      <c r="DG9" s="573"/>
      <c r="DH9" s="573"/>
      <c r="DI9" s="573"/>
      <c r="DJ9" s="573"/>
      <c r="DK9" s="573"/>
      <c r="DL9" s="573"/>
      <c r="DM9" s="573"/>
      <c r="DO9" s="39"/>
      <c r="DP9" s="39"/>
      <c r="DQ9" s="39"/>
      <c r="DR9" s="39"/>
      <c r="DS9" s="39"/>
      <c r="DT9" s="39"/>
    </row>
    <row r="10" spans="2:124" x14ac:dyDescent="0.3">
      <c r="B10" s="7"/>
      <c r="C10" s="7" t="s">
        <v>261</v>
      </c>
      <c r="D10" s="7" t="s">
        <v>102</v>
      </c>
      <c r="E10" s="7" t="s">
        <v>45</v>
      </c>
      <c r="F10" s="7" t="s">
        <v>52</v>
      </c>
      <c r="G10" s="7" t="s">
        <v>150</v>
      </c>
      <c r="H10" s="7" t="s">
        <v>102</v>
      </c>
      <c r="I10" s="7" t="s">
        <v>190</v>
      </c>
      <c r="J10" s="45"/>
      <c r="K10" s="45"/>
      <c r="L10" s="45"/>
      <c r="M10" s="573"/>
      <c r="N10" s="573"/>
      <c r="O10" s="573"/>
      <c r="P10" s="573"/>
      <c r="Q10" s="573"/>
      <c r="R10" s="574"/>
      <c r="S10" s="537"/>
      <c r="T10" s="573"/>
      <c r="U10" s="573"/>
      <c r="V10" s="573"/>
      <c r="W10" s="573"/>
      <c r="X10" s="573"/>
      <c r="Y10" s="573"/>
      <c r="Z10" s="573"/>
      <c r="AA10" s="573"/>
      <c r="AB10" s="537"/>
      <c r="AC10" s="574"/>
      <c r="AD10" s="574"/>
      <c r="AE10" s="574"/>
      <c r="AF10" s="574"/>
      <c r="AG10" s="537"/>
      <c r="AH10" s="573"/>
      <c r="AI10" s="573"/>
      <c r="AJ10" s="573"/>
      <c r="AK10" s="573"/>
      <c r="AL10" s="573"/>
      <c r="AM10" s="573"/>
      <c r="AN10" s="573"/>
      <c r="AO10" s="573"/>
      <c r="AP10" s="537"/>
      <c r="AQ10" s="573"/>
      <c r="AR10" s="573"/>
      <c r="AS10" s="573"/>
      <c r="AT10" s="573"/>
      <c r="AU10" s="573"/>
      <c r="AV10" s="573"/>
      <c r="AW10" s="573"/>
      <c r="AX10" s="573"/>
      <c r="AY10" s="573"/>
      <c r="AZ10" s="573"/>
      <c r="BA10" s="573"/>
      <c r="BB10" s="573"/>
      <c r="BC10" s="573"/>
      <c r="BD10" s="573"/>
      <c r="BE10" s="573"/>
      <c r="BF10" s="573"/>
      <c r="BG10" s="573"/>
      <c r="BH10" s="573"/>
      <c r="BI10" s="573"/>
      <c r="BJ10" s="573"/>
      <c r="BK10" s="573"/>
      <c r="BL10" s="573"/>
      <c r="BM10" s="573"/>
      <c r="BN10" s="573"/>
      <c r="BO10" s="573"/>
      <c r="BP10" s="573"/>
      <c r="BQ10" s="573"/>
      <c r="BR10" s="573"/>
      <c r="BS10" s="573"/>
      <c r="BT10" s="573"/>
      <c r="BU10" s="573"/>
      <c r="BV10" s="573"/>
      <c r="BW10" s="573"/>
      <c r="BX10" s="573"/>
      <c r="BY10" s="573"/>
      <c r="BZ10" s="573"/>
      <c r="CA10" s="573"/>
      <c r="CB10" s="573"/>
      <c r="CC10" s="573"/>
      <c r="CD10" s="573"/>
      <c r="CE10" s="573"/>
      <c r="CF10" s="573"/>
      <c r="CG10" s="573"/>
      <c r="CH10" s="573"/>
      <c r="CI10" s="573"/>
      <c r="CJ10" s="573"/>
      <c r="CK10" s="573"/>
      <c r="CL10" s="573"/>
      <c r="CM10" s="537"/>
      <c r="CN10" s="573"/>
      <c r="CO10" s="573"/>
      <c r="CP10" s="573"/>
      <c r="CQ10" s="573"/>
      <c r="CR10" s="573"/>
      <c r="CS10" s="573"/>
      <c r="CT10" s="573"/>
      <c r="CU10" s="573"/>
      <c r="CV10" s="537"/>
      <c r="CW10" s="573"/>
      <c r="CX10" s="573"/>
      <c r="CY10" s="573"/>
      <c r="CZ10" s="573"/>
      <c r="DA10" s="573"/>
      <c r="DB10" s="573"/>
      <c r="DC10" s="573"/>
      <c r="DD10" s="573"/>
      <c r="DE10" s="537"/>
      <c r="DF10" s="573"/>
      <c r="DG10" s="573"/>
      <c r="DH10" s="573"/>
      <c r="DI10" s="573"/>
      <c r="DJ10" s="573"/>
      <c r="DK10" s="573"/>
      <c r="DL10" s="573"/>
      <c r="DM10" s="573"/>
      <c r="DO10" s="39"/>
      <c r="DP10" s="39"/>
      <c r="DQ10" s="39"/>
      <c r="DR10" s="39"/>
      <c r="DS10" s="39"/>
      <c r="DT10" s="39"/>
    </row>
    <row r="11" spans="2:124" x14ac:dyDescent="0.3">
      <c r="B11" s="7"/>
      <c r="C11" s="7" t="s">
        <v>262</v>
      </c>
      <c r="D11" s="7" t="s">
        <v>102</v>
      </c>
      <c r="E11" s="7" t="s">
        <v>45</v>
      </c>
      <c r="F11" s="7" t="s">
        <v>52</v>
      </c>
      <c r="G11" s="7" t="s">
        <v>150</v>
      </c>
      <c r="H11" s="7" t="s">
        <v>102</v>
      </c>
      <c r="I11" s="7" t="s">
        <v>190</v>
      </c>
      <c r="J11" s="45"/>
      <c r="K11" s="45"/>
      <c r="L11" s="45"/>
      <c r="M11" s="573"/>
      <c r="N11" s="573"/>
      <c r="O11" s="573"/>
      <c r="P11" s="573"/>
      <c r="Q11" s="573"/>
      <c r="R11" s="574"/>
      <c r="S11" s="537"/>
      <c r="T11" s="573"/>
      <c r="U11" s="573"/>
      <c r="V11" s="573"/>
      <c r="W11" s="573"/>
      <c r="X11" s="573"/>
      <c r="Y11" s="573"/>
      <c r="Z11" s="573"/>
      <c r="AA11" s="573"/>
      <c r="AB11" s="537"/>
      <c r="AC11" s="574"/>
      <c r="AD11" s="574"/>
      <c r="AE11" s="574"/>
      <c r="AF11" s="574"/>
      <c r="AG11" s="537"/>
      <c r="AH11" s="573"/>
      <c r="AI11" s="573"/>
      <c r="AJ11" s="573"/>
      <c r="AK11" s="573"/>
      <c r="AL11" s="573"/>
      <c r="AM11" s="573"/>
      <c r="AN11" s="573"/>
      <c r="AO11" s="573"/>
      <c r="AP11" s="537"/>
      <c r="AQ11" s="573"/>
      <c r="AR11" s="573"/>
      <c r="AS11" s="573"/>
      <c r="AT11" s="573"/>
      <c r="AU11" s="573"/>
      <c r="AV11" s="573"/>
      <c r="AW11" s="573"/>
      <c r="AX11" s="573"/>
      <c r="AY11" s="573"/>
      <c r="AZ11" s="573"/>
      <c r="BA11" s="573"/>
      <c r="BB11" s="573"/>
      <c r="BC11" s="573"/>
      <c r="BD11" s="573"/>
      <c r="BE11" s="573"/>
      <c r="BF11" s="573"/>
      <c r="BG11" s="573"/>
      <c r="BH11" s="573"/>
      <c r="BI11" s="573"/>
      <c r="BJ11" s="573"/>
      <c r="BK11" s="573"/>
      <c r="BL11" s="573"/>
      <c r="BM11" s="573"/>
      <c r="BN11" s="573"/>
      <c r="BO11" s="573"/>
      <c r="BP11" s="573"/>
      <c r="BQ11" s="573"/>
      <c r="BR11" s="573"/>
      <c r="BS11" s="573"/>
      <c r="BT11" s="573"/>
      <c r="BU11" s="573"/>
      <c r="BV11" s="573"/>
      <c r="BW11" s="573"/>
      <c r="BX11" s="573"/>
      <c r="BY11" s="573"/>
      <c r="BZ11" s="573"/>
      <c r="CA11" s="573"/>
      <c r="CB11" s="573"/>
      <c r="CC11" s="573"/>
      <c r="CD11" s="573"/>
      <c r="CE11" s="573"/>
      <c r="CF11" s="573"/>
      <c r="CG11" s="573"/>
      <c r="CH11" s="573"/>
      <c r="CI11" s="573"/>
      <c r="CJ11" s="573"/>
      <c r="CK11" s="573"/>
      <c r="CL11" s="573"/>
      <c r="CM11" s="537"/>
      <c r="CN11" s="573"/>
      <c r="CO11" s="573"/>
      <c r="CP11" s="573"/>
      <c r="CQ11" s="573"/>
      <c r="CR11" s="573"/>
      <c r="CS11" s="573"/>
      <c r="CT11" s="573"/>
      <c r="CU11" s="573"/>
      <c r="CV11" s="537"/>
      <c r="CW11" s="573"/>
      <c r="CX11" s="573"/>
      <c r="CY11" s="573"/>
      <c r="CZ11" s="573"/>
      <c r="DA11" s="573"/>
      <c r="DB11" s="573"/>
      <c r="DC11" s="573"/>
      <c r="DD11" s="573"/>
      <c r="DE11" s="537"/>
      <c r="DF11" s="573"/>
      <c r="DG11" s="573"/>
      <c r="DH11" s="573"/>
      <c r="DI11" s="573"/>
      <c r="DJ11" s="573"/>
      <c r="DK11" s="573"/>
      <c r="DL11" s="573"/>
      <c r="DM11" s="573"/>
      <c r="DO11" s="39"/>
      <c r="DP11" s="39"/>
      <c r="DQ11" s="39"/>
      <c r="DR11" s="39"/>
      <c r="DS11" s="39"/>
      <c r="DT11" s="39"/>
    </row>
    <row r="12" spans="2:124" x14ac:dyDescent="0.3">
      <c r="B12" s="7"/>
      <c r="C12" s="7" t="s">
        <v>263</v>
      </c>
      <c r="D12" s="7" t="s">
        <v>102</v>
      </c>
      <c r="E12" s="7" t="s">
        <v>45</v>
      </c>
      <c r="F12" s="7" t="s">
        <v>52</v>
      </c>
      <c r="G12" s="7" t="s">
        <v>150</v>
      </c>
      <c r="H12" s="7" t="s">
        <v>102</v>
      </c>
      <c r="I12" s="7" t="s">
        <v>190</v>
      </c>
      <c r="J12" s="45"/>
      <c r="K12" s="45"/>
      <c r="L12" s="45"/>
      <c r="M12" s="573"/>
      <c r="N12" s="573"/>
      <c r="O12" s="573"/>
      <c r="P12" s="573"/>
      <c r="Q12" s="573"/>
      <c r="R12" s="574"/>
      <c r="S12" s="537"/>
      <c r="T12" s="573"/>
      <c r="U12" s="573"/>
      <c r="V12" s="573"/>
      <c r="W12" s="573"/>
      <c r="X12" s="573"/>
      <c r="Y12" s="573"/>
      <c r="Z12" s="573"/>
      <c r="AA12" s="573"/>
      <c r="AB12" s="537"/>
      <c r="AC12" s="574"/>
      <c r="AD12" s="574"/>
      <c r="AE12" s="574"/>
      <c r="AF12" s="574"/>
      <c r="AG12" s="537"/>
      <c r="AH12" s="573"/>
      <c r="AI12" s="573"/>
      <c r="AJ12" s="573"/>
      <c r="AK12" s="573"/>
      <c r="AL12" s="573"/>
      <c r="AM12" s="573"/>
      <c r="AN12" s="573"/>
      <c r="AO12" s="573"/>
      <c r="AP12" s="537"/>
      <c r="AQ12" s="573"/>
      <c r="AR12" s="573"/>
      <c r="AS12" s="573"/>
      <c r="AT12" s="573"/>
      <c r="AU12" s="573"/>
      <c r="AV12" s="573"/>
      <c r="AW12" s="573"/>
      <c r="AX12" s="573"/>
      <c r="AY12" s="573"/>
      <c r="AZ12" s="573"/>
      <c r="BA12" s="573"/>
      <c r="BB12" s="573"/>
      <c r="BC12" s="573"/>
      <c r="BD12" s="573"/>
      <c r="BE12" s="573"/>
      <c r="BF12" s="573"/>
      <c r="BG12" s="573"/>
      <c r="BH12" s="573"/>
      <c r="BI12" s="573"/>
      <c r="BJ12" s="573"/>
      <c r="BK12" s="573"/>
      <c r="BL12" s="573"/>
      <c r="BM12" s="573"/>
      <c r="BN12" s="573"/>
      <c r="BO12" s="573"/>
      <c r="BP12" s="573"/>
      <c r="BQ12" s="573"/>
      <c r="BR12" s="573"/>
      <c r="BS12" s="573"/>
      <c r="BT12" s="573"/>
      <c r="BU12" s="573"/>
      <c r="BV12" s="573"/>
      <c r="BW12" s="573"/>
      <c r="BX12" s="573"/>
      <c r="BY12" s="573"/>
      <c r="BZ12" s="573"/>
      <c r="CA12" s="573"/>
      <c r="CB12" s="573"/>
      <c r="CC12" s="573"/>
      <c r="CD12" s="573"/>
      <c r="CE12" s="573"/>
      <c r="CF12" s="573"/>
      <c r="CG12" s="573"/>
      <c r="CH12" s="573"/>
      <c r="CI12" s="573"/>
      <c r="CJ12" s="573"/>
      <c r="CK12" s="573"/>
      <c r="CL12" s="573"/>
      <c r="CM12" s="537"/>
      <c r="CN12" s="573"/>
      <c r="CO12" s="573"/>
      <c r="CP12" s="573"/>
      <c r="CQ12" s="573"/>
      <c r="CR12" s="573"/>
      <c r="CS12" s="573"/>
      <c r="CT12" s="573"/>
      <c r="CU12" s="573"/>
      <c r="CV12" s="537"/>
      <c r="CW12" s="573"/>
      <c r="CX12" s="573"/>
      <c r="CY12" s="573"/>
      <c r="CZ12" s="573"/>
      <c r="DA12" s="573"/>
      <c r="DB12" s="573"/>
      <c r="DC12" s="573"/>
      <c r="DD12" s="573"/>
      <c r="DE12" s="537"/>
      <c r="DF12" s="573"/>
      <c r="DG12" s="573"/>
      <c r="DH12" s="573"/>
      <c r="DI12" s="573"/>
      <c r="DJ12" s="573"/>
      <c r="DK12" s="573"/>
      <c r="DL12" s="573"/>
      <c r="DM12" s="573"/>
      <c r="DO12" s="39"/>
      <c r="DP12" s="39"/>
      <c r="DQ12" s="39"/>
      <c r="DR12" s="39"/>
      <c r="DS12" s="39"/>
      <c r="DT12" s="39"/>
    </row>
    <row r="13" spans="2:124" x14ac:dyDescent="0.3">
      <c r="B13" s="7"/>
      <c r="C13" s="7" t="s">
        <v>264</v>
      </c>
      <c r="D13" s="7" t="s">
        <v>102</v>
      </c>
      <c r="E13" s="7" t="s">
        <v>45</v>
      </c>
      <c r="F13" s="7" t="s">
        <v>52</v>
      </c>
      <c r="G13" s="7" t="s">
        <v>150</v>
      </c>
      <c r="H13" s="7" t="s">
        <v>102</v>
      </c>
      <c r="I13" s="7" t="s">
        <v>191</v>
      </c>
      <c r="J13" s="45"/>
      <c r="K13" s="45"/>
      <c r="L13" s="45"/>
      <c r="M13" s="573"/>
      <c r="N13" s="573"/>
      <c r="O13" s="573"/>
      <c r="P13" s="573"/>
      <c r="Q13" s="573"/>
      <c r="R13" s="574"/>
      <c r="S13" s="537"/>
      <c r="T13" s="573"/>
      <c r="U13" s="573"/>
      <c r="V13" s="573"/>
      <c r="W13" s="573"/>
      <c r="X13" s="573"/>
      <c r="Y13" s="573"/>
      <c r="Z13" s="573"/>
      <c r="AA13" s="573"/>
      <c r="AB13" s="537"/>
      <c r="AC13" s="574"/>
      <c r="AD13" s="574"/>
      <c r="AE13" s="574"/>
      <c r="AF13" s="574"/>
      <c r="AG13" s="537"/>
      <c r="AH13" s="573"/>
      <c r="AI13" s="573"/>
      <c r="AJ13" s="573"/>
      <c r="AK13" s="573"/>
      <c r="AL13" s="573"/>
      <c r="AM13" s="573"/>
      <c r="AN13" s="573"/>
      <c r="AO13" s="573"/>
      <c r="AP13" s="537"/>
      <c r="AQ13" s="573"/>
      <c r="AR13" s="573"/>
      <c r="AS13" s="573"/>
      <c r="AT13" s="573"/>
      <c r="AU13" s="573"/>
      <c r="AV13" s="573"/>
      <c r="AW13" s="573"/>
      <c r="AX13" s="573"/>
      <c r="AY13" s="573"/>
      <c r="AZ13" s="573"/>
      <c r="BA13" s="573"/>
      <c r="BB13" s="573"/>
      <c r="BC13" s="573"/>
      <c r="BD13" s="573"/>
      <c r="BE13" s="573"/>
      <c r="BF13" s="573"/>
      <c r="BG13" s="573"/>
      <c r="BH13" s="573"/>
      <c r="BI13" s="573"/>
      <c r="BJ13" s="573"/>
      <c r="BK13" s="573"/>
      <c r="BL13" s="573"/>
      <c r="BM13" s="573"/>
      <c r="BN13" s="573"/>
      <c r="BO13" s="573"/>
      <c r="BP13" s="573"/>
      <c r="BQ13" s="573"/>
      <c r="BR13" s="573"/>
      <c r="BS13" s="573"/>
      <c r="BT13" s="573"/>
      <c r="BU13" s="573"/>
      <c r="BV13" s="573"/>
      <c r="BW13" s="573"/>
      <c r="BX13" s="573"/>
      <c r="BY13" s="573"/>
      <c r="BZ13" s="573"/>
      <c r="CA13" s="573"/>
      <c r="CB13" s="573"/>
      <c r="CC13" s="573"/>
      <c r="CD13" s="573"/>
      <c r="CE13" s="573"/>
      <c r="CF13" s="573"/>
      <c r="CG13" s="573"/>
      <c r="CH13" s="573"/>
      <c r="CI13" s="573"/>
      <c r="CJ13" s="573"/>
      <c r="CK13" s="573"/>
      <c r="CL13" s="573"/>
      <c r="CM13" s="537"/>
      <c r="CN13" s="573"/>
      <c r="CO13" s="573"/>
      <c r="CP13" s="573"/>
      <c r="CQ13" s="573"/>
      <c r="CR13" s="573"/>
      <c r="CS13" s="573"/>
      <c r="CT13" s="573"/>
      <c r="CU13" s="573"/>
      <c r="CV13" s="537"/>
      <c r="CW13" s="573"/>
      <c r="CX13" s="573"/>
      <c r="CY13" s="573"/>
      <c r="CZ13" s="573"/>
      <c r="DA13" s="573"/>
      <c r="DB13" s="573"/>
      <c r="DC13" s="573"/>
      <c r="DD13" s="573"/>
      <c r="DE13" s="537"/>
      <c r="DF13" s="573"/>
      <c r="DG13" s="573"/>
      <c r="DH13" s="573"/>
      <c r="DI13" s="573"/>
      <c r="DJ13" s="573"/>
      <c r="DK13" s="573"/>
      <c r="DL13" s="573"/>
      <c r="DM13" s="573"/>
      <c r="DO13" s="39"/>
      <c r="DP13" s="39"/>
      <c r="DQ13" s="39"/>
      <c r="DR13" s="39"/>
      <c r="DS13" s="39"/>
      <c r="DT13" s="39"/>
    </row>
    <row r="14" spans="2:124" x14ac:dyDescent="0.3">
      <c r="B14" s="7"/>
      <c r="C14" s="7" t="s">
        <v>539</v>
      </c>
      <c r="D14" s="7" t="s">
        <v>105</v>
      </c>
      <c r="E14" s="7" t="s">
        <v>45</v>
      </c>
      <c r="F14" s="7" t="s">
        <v>52</v>
      </c>
      <c r="G14" s="7" t="s">
        <v>150</v>
      </c>
      <c r="H14" s="7" t="s">
        <v>5</v>
      </c>
      <c r="I14" s="7" t="s">
        <v>202</v>
      </c>
      <c r="J14" s="45"/>
      <c r="K14" s="45"/>
      <c r="L14" s="45"/>
      <c r="M14" s="573"/>
      <c r="N14" s="573"/>
      <c r="O14" s="573"/>
      <c r="P14" s="573"/>
      <c r="Q14" s="573"/>
      <c r="R14" s="574"/>
      <c r="S14" s="537"/>
      <c r="T14" s="573"/>
      <c r="U14" s="573"/>
      <c r="V14" s="573"/>
      <c r="W14" s="573"/>
      <c r="X14" s="573"/>
      <c r="Y14" s="573"/>
      <c r="Z14" s="573"/>
      <c r="AA14" s="573"/>
      <c r="AB14" s="537"/>
      <c r="AC14" s="574"/>
      <c r="AD14" s="574"/>
      <c r="AE14" s="574"/>
      <c r="AF14" s="574"/>
      <c r="AG14" s="537"/>
      <c r="AH14" s="573"/>
      <c r="AI14" s="573"/>
      <c r="AJ14" s="573"/>
      <c r="AK14" s="573"/>
      <c r="AL14" s="573"/>
      <c r="AM14" s="573"/>
      <c r="AN14" s="573"/>
      <c r="AO14" s="573"/>
      <c r="AP14" s="537"/>
      <c r="AQ14" s="573"/>
      <c r="AR14" s="573"/>
      <c r="AS14" s="573"/>
      <c r="AT14" s="573"/>
      <c r="AU14" s="573"/>
      <c r="AV14" s="573"/>
      <c r="AW14" s="573"/>
      <c r="AX14" s="573"/>
      <c r="AY14" s="573"/>
      <c r="AZ14" s="573"/>
      <c r="BA14" s="573"/>
      <c r="BB14" s="573"/>
      <c r="BC14" s="573"/>
      <c r="BD14" s="573"/>
      <c r="BE14" s="573"/>
      <c r="BF14" s="573"/>
      <c r="BG14" s="573"/>
      <c r="BH14" s="573"/>
      <c r="BI14" s="573"/>
      <c r="BJ14" s="573"/>
      <c r="BK14" s="573"/>
      <c r="BL14" s="573"/>
      <c r="BM14" s="573"/>
      <c r="BN14" s="573"/>
      <c r="BO14" s="573"/>
      <c r="BP14" s="573"/>
      <c r="BQ14" s="573"/>
      <c r="BR14" s="573"/>
      <c r="BS14" s="573"/>
      <c r="BT14" s="573"/>
      <c r="BU14" s="573"/>
      <c r="BV14" s="573"/>
      <c r="BW14" s="573"/>
      <c r="BX14" s="573"/>
      <c r="BY14" s="573"/>
      <c r="BZ14" s="573"/>
      <c r="CA14" s="573"/>
      <c r="CB14" s="573"/>
      <c r="CC14" s="573"/>
      <c r="CD14" s="573"/>
      <c r="CE14" s="573"/>
      <c r="CF14" s="573"/>
      <c r="CG14" s="573"/>
      <c r="CH14" s="573"/>
      <c r="CI14" s="573"/>
      <c r="CJ14" s="573"/>
      <c r="CK14" s="573"/>
      <c r="CL14" s="573"/>
      <c r="CM14" s="537"/>
      <c r="CN14" s="573"/>
      <c r="CO14" s="573"/>
      <c r="CP14" s="573"/>
      <c r="CQ14" s="573"/>
      <c r="CR14" s="573"/>
      <c r="CS14" s="573"/>
      <c r="CT14" s="573"/>
      <c r="CU14" s="573"/>
      <c r="CV14" s="537"/>
      <c r="CW14" s="573"/>
      <c r="CX14" s="573"/>
      <c r="CY14" s="573"/>
      <c r="CZ14" s="573"/>
      <c r="DA14" s="573"/>
      <c r="DB14" s="573"/>
      <c r="DC14" s="573"/>
      <c r="DD14" s="573"/>
      <c r="DE14" s="537"/>
      <c r="DF14" s="573"/>
      <c r="DG14" s="573"/>
      <c r="DH14" s="573"/>
      <c r="DI14" s="573"/>
      <c r="DJ14" s="573"/>
      <c r="DK14" s="573"/>
      <c r="DL14" s="573"/>
      <c r="DM14" s="573"/>
      <c r="DO14" s="39"/>
      <c r="DP14" s="39"/>
      <c r="DQ14" s="39"/>
      <c r="DR14" s="39"/>
      <c r="DS14" s="39"/>
      <c r="DT14" s="39"/>
    </row>
    <row r="15" spans="2:124" x14ac:dyDescent="0.3">
      <c r="B15" s="7"/>
      <c r="C15" s="7" t="s">
        <v>90</v>
      </c>
      <c r="D15" s="7" t="s">
        <v>103</v>
      </c>
      <c r="E15" s="7" t="s">
        <v>45</v>
      </c>
      <c r="F15" s="7" t="s">
        <v>52</v>
      </c>
      <c r="G15" s="7" t="s">
        <v>150</v>
      </c>
      <c r="H15" s="7" t="s">
        <v>156</v>
      </c>
      <c r="I15" s="7" t="s">
        <v>103</v>
      </c>
      <c r="J15" s="45"/>
      <c r="K15" s="45"/>
      <c r="L15" s="45"/>
      <c r="M15" s="573"/>
      <c r="N15" s="573"/>
      <c r="O15" s="573"/>
      <c r="P15" s="573"/>
      <c r="Q15" s="573"/>
      <c r="R15" s="574"/>
      <c r="S15" s="537"/>
      <c r="T15" s="573"/>
      <c r="U15" s="573"/>
      <c r="V15" s="573"/>
      <c r="W15" s="573"/>
      <c r="X15" s="573"/>
      <c r="Y15" s="573"/>
      <c r="Z15" s="573"/>
      <c r="AA15" s="573"/>
      <c r="AB15" s="537"/>
      <c r="AC15" s="574"/>
      <c r="AD15" s="574"/>
      <c r="AE15" s="574"/>
      <c r="AF15" s="574"/>
      <c r="AG15" s="537"/>
      <c r="AH15" s="573"/>
      <c r="AI15" s="573"/>
      <c r="AJ15" s="573"/>
      <c r="AK15" s="573"/>
      <c r="AL15" s="573"/>
      <c r="AM15" s="573"/>
      <c r="AN15" s="573"/>
      <c r="AO15" s="573"/>
      <c r="AP15" s="537"/>
      <c r="AQ15" s="573"/>
      <c r="AR15" s="573"/>
      <c r="AS15" s="573"/>
      <c r="AT15" s="573"/>
      <c r="AU15" s="573"/>
      <c r="AV15" s="573"/>
      <c r="AW15" s="573"/>
      <c r="AX15" s="573"/>
      <c r="AY15" s="573"/>
      <c r="AZ15" s="573"/>
      <c r="BA15" s="573"/>
      <c r="BB15" s="573"/>
      <c r="BC15" s="573"/>
      <c r="BD15" s="573"/>
      <c r="BE15" s="573"/>
      <c r="BF15" s="573"/>
      <c r="BG15" s="573"/>
      <c r="BH15" s="573"/>
      <c r="BI15" s="573"/>
      <c r="BJ15" s="573"/>
      <c r="BK15" s="573"/>
      <c r="BL15" s="573"/>
      <c r="BM15" s="573"/>
      <c r="BN15" s="573"/>
      <c r="BO15" s="573"/>
      <c r="BP15" s="573"/>
      <c r="BQ15" s="573"/>
      <c r="BR15" s="573"/>
      <c r="BS15" s="573"/>
      <c r="BT15" s="573"/>
      <c r="BU15" s="573"/>
      <c r="BV15" s="573"/>
      <c r="BW15" s="573"/>
      <c r="BX15" s="573"/>
      <c r="BY15" s="573"/>
      <c r="BZ15" s="573"/>
      <c r="CA15" s="573"/>
      <c r="CB15" s="573"/>
      <c r="CC15" s="573"/>
      <c r="CD15" s="573"/>
      <c r="CE15" s="573"/>
      <c r="CF15" s="573"/>
      <c r="CG15" s="573"/>
      <c r="CH15" s="573"/>
      <c r="CI15" s="573"/>
      <c r="CJ15" s="573"/>
      <c r="CK15" s="573"/>
      <c r="CL15" s="573"/>
      <c r="CM15" s="537"/>
      <c r="CN15" s="573"/>
      <c r="CO15" s="573"/>
      <c r="CP15" s="573"/>
      <c r="CQ15" s="573"/>
      <c r="CR15" s="573"/>
      <c r="CS15" s="573"/>
      <c r="CT15" s="573"/>
      <c r="CU15" s="573"/>
      <c r="CV15" s="537"/>
      <c r="CW15" s="573"/>
      <c r="CX15" s="573"/>
      <c r="CY15" s="573"/>
      <c r="CZ15" s="573"/>
      <c r="DA15" s="573"/>
      <c r="DB15" s="573"/>
      <c r="DC15" s="573"/>
      <c r="DD15" s="573"/>
      <c r="DE15" s="537"/>
      <c r="DF15" s="573"/>
      <c r="DG15" s="573"/>
      <c r="DH15" s="573"/>
      <c r="DI15" s="573"/>
      <c r="DJ15" s="573"/>
      <c r="DK15" s="573"/>
      <c r="DL15" s="573"/>
      <c r="DM15" s="573"/>
      <c r="DO15" s="39"/>
      <c r="DP15" s="39"/>
      <c r="DQ15" s="39"/>
      <c r="DR15" s="39"/>
      <c r="DS15" s="39"/>
      <c r="DT15" s="39"/>
    </row>
    <row r="16" spans="2:124" x14ac:dyDescent="0.3">
      <c r="B16" s="7"/>
      <c r="C16" s="7" t="s">
        <v>91</v>
      </c>
      <c r="D16" s="7" t="s">
        <v>103</v>
      </c>
      <c r="E16" s="7" t="s">
        <v>45</v>
      </c>
      <c r="F16" s="7" t="s">
        <v>52</v>
      </c>
      <c r="G16" s="7" t="s">
        <v>150</v>
      </c>
      <c r="H16" s="7" t="s">
        <v>156</v>
      </c>
      <c r="I16" s="7" t="s">
        <v>103</v>
      </c>
      <c r="J16" s="45"/>
      <c r="K16" s="45"/>
      <c r="L16" s="45"/>
      <c r="M16" s="573"/>
      <c r="N16" s="573"/>
      <c r="O16" s="573"/>
      <c r="P16" s="573"/>
      <c r="Q16" s="573"/>
      <c r="R16" s="574"/>
      <c r="S16" s="537"/>
      <c r="T16" s="573"/>
      <c r="U16" s="573"/>
      <c r="V16" s="573"/>
      <c r="W16" s="573"/>
      <c r="X16" s="573"/>
      <c r="Y16" s="573"/>
      <c r="Z16" s="573"/>
      <c r="AA16" s="573"/>
      <c r="AB16" s="537"/>
      <c r="AC16" s="574"/>
      <c r="AD16" s="574"/>
      <c r="AE16" s="574"/>
      <c r="AF16" s="574"/>
      <c r="AG16" s="537"/>
      <c r="AH16" s="573"/>
      <c r="AI16" s="573"/>
      <c r="AJ16" s="573"/>
      <c r="AK16" s="573"/>
      <c r="AL16" s="573"/>
      <c r="AM16" s="573"/>
      <c r="AN16" s="573"/>
      <c r="AO16" s="573"/>
      <c r="AP16" s="537"/>
      <c r="AQ16" s="573"/>
      <c r="AR16" s="573"/>
      <c r="AS16" s="573"/>
      <c r="AT16" s="573"/>
      <c r="AU16" s="573"/>
      <c r="AV16" s="573"/>
      <c r="AW16" s="573"/>
      <c r="AX16" s="573"/>
      <c r="AY16" s="573"/>
      <c r="AZ16" s="573"/>
      <c r="BA16" s="573"/>
      <c r="BB16" s="573"/>
      <c r="BC16" s="573"/>
      <c r="BD16" s="573"/>
      <c r="BE16" s="573"/>
      <c r="BF16" s="573"/>
      <c r="BG16" s="573"/>
      <c r="BH16" s="573"/>
      <c r="BI16" s="573"/>
      <c r="BJ16" s="573"/>
      <c r="BK16" s="573"/>
      <c r="BL16" s="573"/>
      <c r="BM16" s="573"/>
      <c r="BN16" s="573"/>
      <c r="BO16" s="573"/>
      <c r="BP16" s="573"/>
      <c r="BQ16" s="573"/>
      <c r="BR16" s="573"/>
      <c r="BS16" s="573"/>
      <c r="BT16" s="573"/>
      <c r="BU16" s="573"/>
      <c r="BV16" s="573"/>
      <c r="BW16" s="573"/>
      <c r="BX16" s="573"/>
      <c r="BY16" s="573"/>
      <c r="BZ16" s="573"/>
      <c r="CA16" s="573"/>
      <c r="CB16" s="573"/>
      <c r="CC16" s="573"/>
      <c r="CD16" s="573"/>
      <c r="CE16" s="573"/>
      <c r="CF16" s="573"/>
      <c r="CG16" s="573"/>
      <c r="CH16" s="573"/>
      <c r="CI16" s="573"/>
      <c r="CJ16" s="573"/>
      <c r="CK16" s="573"/>
      <c r="CL16" s="573"/>
      <c r="CM16" s="537"/>
      <c r="CN16" s="573"/>
      <c r="CO16" s="573"/>
      <c r="CP16" s="573"/>
      <c r="CQ16" s="573"/>
      <c r="CR16" s="573"/>
      <c r="CS16" s="573"/>
      <c r="CT16" s="573"/>
      <c r="CU16" s="573"/>
      <c r="CV16" s="537"/>
      <c r="CW16" s="573"/>
      <c r="CX16" s="573"/>
      <c r="CY16" s="573"/>
      <c r="CZ16" s="573"/>
      <c r="DA16" s="573"/>
      <c r="DB16" s="573"/>
      <c r="DC16" s="573"/>
      <c r="DD16" s="573"/>
      <c r="DE16" s="537"/>
      <c r="DF16" s="573"/>
      <c r="DG16" s="573"/>
      <c r="DH16" s="573"/>
      <c r="DI16" s="573"/>
      <c r="DJ16" s="573"/>
      <c r="DK16" s="573"/>
      <c r="DL16" s="573"/>
      <c r="DM16" s="573"/>
      <c r="DO16" s="39"/>
      <c r="DP16" s="39"/>
      <c r="DQ16" s="39"/>
      <c r="DR16" s="39"/>
      <c r="DS16" s="39"/>
      <c r="DT16" s="39"/>
    </row>
    <row r="17" spans="2:124" x14ac:dyDescent="0.3">
      <c r="B17" s="7"/>
      <c r="C17" s="7" t="s">
        <v>92</v>
      </c>
      <c r="D17" s="7" t="s">
        <v>103</v>
      </c>
      <c r="E17" s="7" t="s">
        <v>44</v>
      </c>
      <c r="F17" s="7" t="s">
        <v>52</v>
      </c>
      <c r="G17" s="7" t="s">
        <v>150</v>
      </c>
      <c r="H17" s="7" t="s">
        <v>156</v>
      </c>
      <c r="I17" s="7" t="s">
        <v>103</v>
      </c>
      <c r="J17" s="45"/>
      <c r="K17" s="45"/>
      <c r="L17" s="45"/>
      <c r="M17" s="573"/>
      <c r="N17" s="573"/>
      <c r="O17" s="573"/>
      <c r="P17" s="573"/>
      <c r="Q17" s="573"/>
      <c r="R17" s="574"/>
      <c r="S17" s="537"/>
      <c r="T17" s="573"/>
      <c r="U17" s="573"/>
      <c r="V17" s="573"/>
      <c r="W17" s="573"/>
      <c r="X17" s="573"/>
      <c r="Y17" s="573"/>
      <c r="Z17" s="573"/>
      <c r="AA17" s="573"/>
      <c r="AB17" s="537"/>
      <c r="AC17" s="574"/>
      <c r="AD17" s="574"/>
      <c r="AE17" s="574"/>
      <c r="AF17" s="574"/>
      <c r="AG17" s="537"/>
      <c r="AH17" s="573"/>
      <c r="AI17" s="573"/>
      <c r="AJ17" s="573"/>
      <c r="AK17" s="573"/>
      <c r="AL17" s="573"/>
      <c r="AM17" s="573"/>
      <c r="AN17" s="573"/>
      <c r="AO17" s="573"/>
      <c r="AP17" s="537"/>
      <c r="AQ17" s="573"/>
      <c r="AR17" s="573"/>
      <c r="AS17" s="573"/>
      <c r="AT17" s="573"/>
      <c r="AU17" s="573"/>
      <c r="AV17" s="573"/>
      <c r="AW17" s="573"/>
      <c r="AX17" s="573"/>
      <c r="AY17" s="573"/>
      <c r="AZ17" s="573"/>
      <c r="BA17" s="573"/>
      <c r="BB17" s="573"/>
      <c r="BC17" s="573"/>
      <c r="BD17" s="573"/>
      <c r="BE17" s="573"/>
      <c r="BF17" s="573"/>
      <c r="BG17" s="573"/>
      <c r="BH17" s="573"/>
      <c r="BI17" s="573"/>
      <c r="BJ17" s="573"/>
      <c r="BK17" s="573"/>
      <c r="BL17" s="573"/>
      <c r="BM17" s="573"/>
      <c r="BN17" s="573"/>
      <c r="BO17" s="573"/>
      <c r="BP17" s="573"/>
      <c r="BQ17" s="573"/>
      <c r="BR17" s="573"/>
      <c r="BS17" s="573"/>
      <c r="BT17" s="573"/>
      <c r="BU17" s="573"/>
      <c r="BV17" s="573"/>
      <c r="BW17" s="573"/>
      <c r="BX17" s="573"/>
      <c r="BY17" s="573"/>
      <c r="BZ17" s="573"/>
      <c r="CA17" s="573"/>
      <c r="CB17" s="573"/>
      <c r="CC17" s="573"/>
      <c r="CD17" s="573"/>
      <c r="CE17" s="573"/>
      <c r="CF17" s="573"/>
      <c r="CG17" s="573"/>
      <c r="CH17" s="573"/>
      <c r="CI17" s="573"/>
      <c r="CJ17" s="573"/>
      <c r="CK17" s="573"/>
      <c r="CL17" s="573"/>
      <c r="CM17" s="537"/>
      <c r="CN17" s="573"/>
      <c r="CO17" s="573"/>
      <c r="CP17" s="573"/>
      <c r="CQ17" s="573"/>
      <c r="CR17" s="573"/>
      <c r="CS17" s="573"/>
      <c r="CT17" s="573"/>
      <c r="CU17" s="573"/>
      <c r="CV17" s="537"/>
      <c r="CW17" s="573"/>
      <c r="CX17" s="573"/>
      <c r="CY17" s="573"/>
      <c r="CZ17" s="573"/>
      <c r="DA17" s="573"/>
      <c r="DB17" s="573"/>
      <c r="DC17" s="573"/>
      <c r="DD17" s="573"/>
      <c r="DE17" s="537"/>
      <c r="DF17" s="573"/>
      <c r="DG17" s="573"/>
      <c r="DH17" s="573"/>
      <c r="DI17" s="573"/>
      <c r="DJ17" s="573"/>
      <c r="DK17" s="573"/>
      <c r="DL17" s="573"/>
      <c r="DM17" s="573"/>
      <c r="DO17" s="39"/>
      <c r="DP17" s="39"/>
      <c r="DQ17" s="39"/>
      <c r="DR17" s="39"/>
      <c r="DS17" s="39"/>
      <c r="DT17" s="39"/>
    </row>
    <row r="18" spans="2:124" x14ac:dyDescent="0.3">
      <c r="B18" s="7"/>
      <c r="C18" s="7" t="s">
        <v>449</v>
      </c>
      <c r="D18" s="7" t="s">
        <v>104</v>
      </c>
      <c r="E18" s="7" t="s">
        <v>45</v>
      </c>
      <c r="F18" s="7" t="s">
        <v>52</v>
      </c>
      <c r="G18" s="7" t="s">
        <v>150</v>
      </c>
      <c r="H18" s="7" t="s">
        <v>157</v>
      </c>
      <c r="I18" s="7" t="s">
        <v>193</v>
      </c>
      <c r="J18" s="45"/>
      <c r="K18" s="45"/>
      <c r="L18" s="45"/>
      <c r="M18" s="573"/>
      <c r="N18" s="573"/>
      <c r="O18" s="573"/>
      <c r="P18" s="573"/>
      <c r="Q18" s="573"/>
      <c r="R18" s="574"/>
      <c r="S18" s="537"/>
      <c r="T18" s="573"/>
      <c r="U18" s="573"/>
      <c r="V18" s="573"/>
      <c r="W18" s="573"/>
      <c r="X18" s="573"/>
      <c r="Y18" s="573"/>
      <c r="Z18" s="573"/>
      <c r="AA18" s="573"/>
      <c r="AB18" s="537"/>
      <c r="AC18" s="574"/>
      <c r="AD18" s="574"/>
      <c r="AE18" s="574"/>
      <c r="AF18" s="574"/>
      <c r="AG18" s="537"/>
      <c r="AH18" s="573"/>
      <c r="AI18" s="573"/>
      <c r="AJ18" s="573"/>
      <c r="AK18" s="573"/>
      <c r="AL18" s="573"/>
      <c r="AM18" s="573"/>
      <c r="AN18" s="573"/>
      <c r="AO18" s="573"/>
      <c r="AP18" s="537"/>
      <c r="AQ18" s="573"/>
      <c r="AR18" s="573"/>
      <c r="AS18" s="573"/>
      <c r="AT18" s="573"/>
      <c r="AU18" s="573"/>
      <c r="AV18" s="573"/>
      <c r="AW18" s="573"/>
      <c r="AX18" s="573"/>
      <c r="AY18" s="573"/>
      <c r="AZ18" s="573"/>
      <c r="BA18" s="573"/>
      <c r="BB18" s="573"/>
      <c r="BC18" s="573"/>
      <c r="BD18" s="573"/>
      <c r="BE18" s="573"/>
      <c r="BF18" s="573"/>
      <c r="BG18" s="573"/>
      <c r="BH18" s="573"/>
      <c r="BI18" s="573"/>
      <c r="BJ18" s="573"/>
      <c r="BK18" s="573"/>
      <c r="BL18" s="573"/>
      <c r="BM18" s="573"/>
      <c r="BN18" s="573"/>
      <c r="BO18" s="573"/>
      <c r="BP18" s="573"/>
      <c r="BQ18" s="573"/>
      <c r="BR18" s="573"/>
      <c r="BS18" s="573"/>
      <c r="BT18" s="573"/>
      <c r="BU18" s="573"/>
      <c r="BV18" s="573"/>
      <c r="BW18" s="573"/>
      <c r="BX18" s="573"/>
      <c r="BY18" s="573"/>
      <c r="BZ18" s="573"/>
      <c r="CA18" s="573"/>
      <c r="CB18" s="573"/>
      <c r="CC18" s="573"/>
      <c r="CD18" s="573"/>
      <c r="CE18" s="573"/>
      <c r="CF18" s="573"/>
      <c r="CG18" s="573"/>
      <c r="CH18" s="573"/>
      <c r="CI18" s="573"/>
      <c r="CJ18" s="573"/>
      <c r="CK18" s="573"/>
      <c r="CL18" s="573"/>
      <c r="CM18" s="537"/>
      <c r="CN18" s="573"/>
      <c r="CO18" s="573"/>
      <c r="CP18" s="573"/>
      <c r="CQ18" s="573"/>
      <c r="CR18" s="573"/>
      <c r="CS18" s="573"/>
      <c r="CT18" s="573"/>
      <c r="CU18" s="573"/>
      <c r="CV18" s="537"/>
      <c r="CW18" s="573"/>
      <c r="CX18" s="573"/>
      <c r="CY18" s="573"/>
      <c r="CZ18" s="573"/>
      <c r="DA18" s="573"/>
      <c r="DB18" s="573"/>
      <c r="DC18" s="573"/>
      <c r="DD18" s="573"/>
      <c r="DE18" s="537"/>
      <c r="DF18" s="573"/>
      <c r="DG18" s="573"/>
      <c r="DH18" s="573"/>
      <c r="DI18" s="573"/>
      <c r="DJ18" s="573"/>
      <c r="DK18" s="573"/>
      <c r="DL18" s="573"/>
      <c r="DM18" s="573"/>
      <c r="DO18" s="39"/>
      <c r="DP18" s="39"/>
      <c r="DQ18" s="39"/>
      <c r="DR18" s="39"/>
      <c r="DS18" s="39"/>
      <c r="DT18" s="39"/>
    </row>
    <row r="19" spans="2:124" x14ac:dyDescent="0.3">
      <c r="B19" s="7"/>
      <c r="C19" s="7" t="s">
        <v>537</v>
      </c>
      <c r="D19" s="7" t="s">
        <v>104</v>
      </c>
      <c r="E19" s="7" t="s">
        <v>45</v>
      </c>
      <c r="F19" s="7" t="s">
        <v>52</v>
      </c>
      <c r="G19" s="7" t="s">
        <v>150</v>
      </c>
      <c r="H19" s="7" t="s">
        <v>157</v>
      </c>
      <c r="I19" s="7" t="s">
        <v>272</v>
      </c>
      <c r="J19" s="45"/>
      <c r="K19" s="45"/>
      <c r="L19" s="45"/>
      <c r="M19" s="573"/>
      <c r="N19" s="573"/>
      <c r="O19" s="573"/>
      <c r="P19" s="573"/>
      <c r="Q19" s="573"/>
      <c r="R19" s="574"/>
      <c r="S19" s="537"/>
      <c r="T19" s="573"/>
      <c r="U19" s="573"/>
      <c r="V19" s="573"/>
      <c r="W19" s="573"/>
      <c r="X19" s="573"/>
      <c r="Y19" s="573"/>
      <c r="Z19" s="573"/>
      <c r="AA19" s="573"/>
      <c r="AB19" s="537"/>
      <c r="AC19" s="574"/>
      <c r="AD19" s="574"/>
      <c r="AE19" s="574"/>
      <c r="AF19" s="574"/>
      <c r="AG19" s="537"/>
      <c r="AH19" s="573"/>
      <c r="AI19" s="573"/>
      <c r="AJ19" s="573"/>
      <c r="AK19" s="573"/>
      <c r="AL19" s="573"/>
      <c r="AM19" s="573"/>
      <c r="AN19" s="573"/>
      <c r="AO19" s="573"/>
      <c r="AP19" s="537"/>
      <c r="AQ19" s="573"/>
      <c r="AR19" s="573"/>
      <c r="AS19" s="573"/>
      <c r="AT19" s="573"/>
      <c r="AU19" s="573"/>
      <c r="AV19" s="573"/>
      <c r="AW19" s="573"/>
      <c r="AX19" s="573"/>
      <c r="AY19" s="573"/>
      <c r="AZ19" s="573"/>
      <c r="BA19" s="573"/>
      <c r="BB19" s="573"/>
      <c r="BC19" s="573"/>
      <c r="BD19" s="573"/>
      <c r="BE19" s="573"/>
      <c r="BF19" s="573"/>
      <c r="BG19" s="573"/>
      <c r="BH19" s="573"/>
      <c r="BI19" s="573"/>
      <c r="BJ19" s="573"/>
      <c r="BK19" s="573"/>
      <c r="BL19" s="573"/>
      <c r="BM19" s="573"/>
      <c r="BN19" s="573"/>
      <c r="BO19" s="573"/>
      <c r="BP19" s="573"/>
      <c r="BQ19" s="573"/>
      <c r="BR19" s="573"/>
      <c r="BS19" s="573"/>
      <c r="BT19" s="573"/>
      <c r="BU19" s="573"/>
      <c r="BV19" s="573"/>
      <c r="BW19" s="573"/>
      <c r="BX19" s="573"/>
      <c r="BY19" s="573"/>
      <c r="BZ19" s="573"/>
      <c r="CA19" s="573"/>
      <c r="CB19" s="573"/>
      <c r="CC19" s="573"/>
      <c r="CD19" s="573"/>
      <c r="CE19" s="573"/>
      <c r="CF19" s="573"/>
      <c r="CG19" s="573"/>
      <c r="CH19" s="573"/>
      <c r="CI19" s="573"/>
      <c r="CJ19" s="573"/>
      <c r="CK19" s="573"/>
      <c r="CL19" s="573"/>
      <c r="CM19" s="537"/>
      <c r="CN19" s="573"/>
      <c r="CO19" s="573"/>
      <c r="CP19" s="573"/>
      <c r="CQ19" s="573"/>
      <c r="CR19" s="573"/>
      <c r="CS19" s="573"/>
      <c r="CT19" s="573"/>
      <c r="CU19" s="573"/>
      <c r="CV19" s="537"/>
      <c r="CW19" s="573"/>
      <c r="CX19" s="573"/>
      <c r="CY19" s="573"/>
      <c r="CZ19" s="573"/>
      <c r="DA19" s="573"/>
      <c r="DB19" s="573"/>
      <c r="DC19" s="573"/>
      <c r="DD19" s="573"/>
      <c r="DE19" s="537"/>
      <c r="DF19" s="573"/>
      <c r="DG19" s="573"/>
      <c r="DH19" s="573"/>
      <c r="DI19" s="573"/>
      <c r="DJ19" s="573"/>
      <c r="DK19" s="573"/>
      <c r="DL19" s="573"/>
      <c r="DM19" s="573"/>
      <c r="DO19" s="39"/>
      <c r="DP19" s="39"/>
      <c r="DQ19" s="39"/>
      <c r="DR19" s="39"/>
      <c r="DS19" s="39"/>
      <c r="DT19" s="39"/>
    </row>
    <row r="20" spans="2:124" x14ac:dyDescent="0.3">
      <c r="B20" s="7"/>
      <c r="C20" s="7" t="s">
        <v>273</v>
      </c>
      <c r="D20" s="7" t="s">
        <v>104</v>
      </c>
      <c r="E20" s="7" t="s">
        <v>44</v>
      </c>
      <c r="F20" s="7" t="s">
        <v>52</v>
      </c>
      <c r="G20" s="7" t="s">
        <v>150</v>
      </c>
      <c r="H20" s="7" t="s">
        <v>157</v>
      </c>
      <c r="I20" s="7" t="s">
        <v>272</v>
      </c>
      <c r="J20" s="45"/>
      <c r="K20" s="45"/>
      <c r="L20" s="45"/>
      <c r="M20" s="573"/>
      <c r="N20" s="573"/>
      <c r="O20" s="573"/>
      <c r="P20" s="573"/>
      <c r="Q20" s="573"/>
      <c r="R20" s="574"/>
      <c r="S20" s="537"/>
      <c r="T20" s="573"/>
      <c r="U20" s="573"/>
      <c r="V20" s="573"/>
      <c r="W20" s="573"/>
      <c r="X20" s="573"/>
      <c r="Y20" s="573"/>
      <c r="Z20" s="573"/>
      <c r="AA20" s="573"/>
      <c r="AB20" s="537"/>
      <c r="AC20" s="574"/>
      <c r="AD20" s="574"/>
      <c r="AE20" s="574"/>
      <c r="AF20" s="574"/>
      <c r="AG20" s="537"/>
      <c r="AH20" s="573"/>
      <c r="AI20" s="573"/>
      <c r="AJ20" s="573"/>
      <c r="AK20" s="573"/>
      <c r="AL20" s="573"/>
      <c r="AM20" s="573"/>
      <c r="AN20" s="573"/>
      <c r="AO20" s="573"/>
      <c r="AP20" s="537"/>
      <c r="AQ20" s="573"/>
      <c r="AR20" s="573"/>
      <c r="AS20" s="573"/>
      <c r="AT20" s="573"/>
      <c r="AU20" s="573"/>
      <c r="AV20" s="573"/>
      <c r="AW20" s="573"/>
      <c r="AX20" s="573"/>
      <c r="AY20" s="573"/>
      <c r="AZ20" s="573"/>
      <c r="BA20" s="573"/>
      <c r="BB20" s="573"/>
      <c r="BC20" s="573"/>
      <c r="BD20" s="573"/>
      <c r="BE20" s="573"/>
      <c r="BF20" s="573"/>
      <c r="BG20" s="573"/>
      <c r="BH20" s="573"/>
      <c r="BI20" s="573"/>
      <c r="BJ20" s="573"/>
      <c r="BK20" s="573"/>
      <c r="BL20" s="573"/>
      <c r="BM20" s="573"/>
      <c r="BN20" s="573"/>
      <c r="BO20" s="573"/>
      <c r="BP20" s="573"/>
      <c r="BQ20" s="573"/>
      <c r="BR20" s="573"/>
      <c r="BS20" s="573"/>
      <c r="BT20" s="573"/>
      <c r="BU20" s="573"/>
      <c r="BV20" s="573"/>
      <c r="BW20" s="573"/>
      <c r="BX20" s="573"/>
      <c r="BY20" s="573"/>
      <c r="BZ20" s="573"/>
      <c r="CA20" s="573"/>
      <c r="CB20" s="573"/>
      <c r="CC20" s="573"/>
      <c r="CD20" s="573"/>
      <c r="CE20" s="573"/>
      <c r="CF20" s="573"/>
      <c r="CG20" s="573"/>
      <c r="CH20" s="573"/>
      <c r="CI20" s="573"/>
      <c r="CJ20" s="573"/>
      <c r="CK20" s="573"/>
      <c r="CL20" s="573"/>
      <c r="CM20" s="537"/>
      <c r="CN20" s="573"/>
      <c r="CO20" s="573"/>
      <c r="CP20" s="573"/>
      <c r="CQ20" s="573"/>
      <c r="CR20" s="573"/>
      <c r="CS20" s="573"/>
      <c r="CT20" s="573"/>
      <c r="CU20" s="573"/>
      <c r="CV20" s="537"/>
      <c r="CW20" s="573"/>
      <c r="CX20" s="573"/>
      <c r="CY20" s="573"/>
      <c r="CZ20" s="573"/>
      <c r="DA20" s="573"/>
      <c r="DB20" s="573"/>
      <c r="DC20" s="573"/>
      <c r="DD20" s="573"/>
      <c r="DE20" s="537"/>
      <c r="DF20" s="573"/>
      <c r="DG20" s="573"/>
      <c r="DH20" s="573"/>
      <c r="DI20" s="573"/>
      <c r="DJ20" s="573"/>
      <c r="DK20" s="573"/>
      <c r="DL20" s="573"/>
      <c r="DM20" s="573"/>
      <c r="DO20" s="39"/>
      <c r="DP20" s="39"/>
      <c r="DQ20" s="39"/>
      <c r="DR20" s="39"/>
      <c r="DS20" s="39"/>
      <c r="DT20" s="39"/>
    </row>
    <row r="21" spans="2:124" x14ac:dyDescent="0.3">
      <c r="B21" s="7"/>
      <c r="C21" s="7" t="s">
        <v>265</v>
      </c>
      <c r="D21" s="7" t="s">
        <v>104</v>
      </c>
      <c r="E21" s="7" t="s">
        <v>45</v>
      </c>
      <c r="F21" s="7" t="s">
        <v>52</v>
      </c>
      <c r="G21" s="7" t="s">
        <v>150</v>
      </c>
      <c r="H21" s="7" t="s">
        <v>157</v>
      </c>
      <c r="I21" s="7" t="s">
        <v>270</v>
      </c>
      <c r="J21" s="45"/>
      <c r="K21" s="45"/>
      <c r="L21" s="45"/>
      <c r="M21" s="574"/>
      <c r="N21" s="574"/>
      <c r="O21" s="574"/>
      <c r="P21" s="574"/>
      <c r="Q21" s="574"/>
      <c r="R21" s="574"/>
      <c r="S21" s="537"/>
      <c r="T21" s="573"/>
      <c r="U21" s="573"/>
      <c r="V21" s="573"/>
      <c r="W21" s="573"/>
      <c r="X21" s="573"/>
      <c r="Y21" s="573"/>
      <c r="Z21" s="573"/>
      <c r="AA21" s="573"/>
      <c r="AB21" s="537"/>
      <c r="AC21" s="574"/>
      <c r="AD21" s="574"/>
      <c r="AE21" s="574"/>
      <c r="AF21" s="574"/>
      <c r="AG21" s="537"/>
      <c r="AH21" s="573"/>
      <c r="AI21" s="573"/>
      <c r="AJ21" s="573"/>
      <c r="AK21" s="573"/>
      <c r="AL21" s="573"/>
      <c r="AM21" s="573"/>
      <c r="AN21" s="573"/>
      <c r="AO21" s="573"/>
      <c r="AP21" s="537"/>
      <c r="AQ21" s="576"/>
      <c r="AR21" s="576"/>
      <c r="AS21" s="576"/>
      <c r="AT21" s="576"/>
      <c r="AU21" s="576"/>
      <c r="AV21" s="573"/>
      <c r="AW21" s="573"/>
      <c r="AX21" s="573"/>
      <c r="AY21" s="573"/>
      <c r="AZ21" s="573"/>
      <c r="BA21" s="573"/>
      <c r="BB21" s="573"/>
      <c r="BC21" s="573"/>
      <c r="BD21" s="573"/>
      <c r="BE21" s="573"/>
      <c r="BF21" s="573"/>
      <c r="BG21" s="573"/>
      <c r="BH21" s="573"/>
      <c r="BI21" s="573"/>
      <c r="BJ21" s="573"/>
      <c r="BK21" s="573"/>
      <c r="BL21" s="573"/>
      <c r="BM21" s="573"/>
      <c r="BN21" s="573"/>
      <c r="BO21" s="573"/>
      <c r="BP21" s="573"/>
      <c r="BQ21" s="573"/>
      <c r="BR21" s="573"/>
      <c r="BS21" s="573"/>
      <c r="BT21" s="573"/>
      <c r="BU21" s="573"/>
      <c r="BV21" s="573"/>
      <c r="BW21" s="573"/>
      <c r="BX21" s="573"/>
      <c r="BY21" s="573"/>
      <c r="BZ21" s="573"/>
      <c r="CA21" s="573"/>
      <c r="CB21" s="573"/>
      <c r="CC21" s="573"/>
      <c r="CD21" s="573"/>
      <c r="CE21" s="573"/>
      <c r="CF21" s="573"/>
      <c r="CG21" s="573"/>
      <c r="CH21" s="573"/>
      <c r="CI21" s="573"/>
      <c r="CJ21" s="573"/>
      <c r="CK21" s="573"/>
      <c r="CL21" s="573"/>
      <c r="CM21" s="537"/>
      <c r="CN21" s="573"/>
      <c r="CO21" s="573"/>
      <c r="CP21" s="573"/>
      <c r="CQ21" s="573"/>
      <c r="CR21" s="573"/>
      <c r="CS21" s="573"/>
      <c r="CT21" s="573"/>
      <c r="CU21" s="573"/>
      <c r="CV21" s="537"/>
      <c r="CW21" s="573"/>
      <c r="CX21" s="573"/>
      <c r="CY21" s="573"/>
      <c r="CZ21" s="573"/>
      <c r="DA21" s="573"/>
      <c r="DB21" s="573"/>
      <c r="DC21" s="573"/>
      <c r="DD21" s="573"/>
      <c r="DE21" s="537"/>
      <c r="DF21" s="573"/>
      <c r="DG21" s="573"/>
      <c r="DH21" s="573"/>
      <c r="DI21" s="573"/>
      <c r="DJ21" s="573"/>
      <c r="DK21" s="573"/>
      <c r="DL21" s="573"/>
      <c r="DM21" s="573"/>
      <c r="DO21" s="39"/>
      <c r="DP21" s="39"/>
      <c r="DQ21" s="39"/>
      <c r="DR21" s="39"/>
      <c r="DS21" s="39"/>
      <c r="DT21" s="39"/>
    </row>
    <row r="22" spans="2:124" x14ac:dyDescent="0.3">
      <c r="B22" s="7"/>
      <c r="C22" s="7" t="s">
        <v>274</v>
      </c>
      <c r="D22" s="7" t="s">
        <v>104</v>
      </c>
      <c r="E22" s="7" t="s">
        <v>44</v>
      </c>
      <c r="F22" s="7" t="s">
        <v>52</v>
      </c>
      <c r="G22" s="7" t="s">
        <v>150</v>
      </c>
      <c r="H22" s="7" t="s">
        <v>157</v>
      </c>
      <c r="I22" s="7" t="s">
        <v>270</v>
      </c>
      <c r="J22" s="45"/>
      <c r="K22" s="45"/>
      <c r="L22" s="45"/>
      <c r="M22" s="574"/>
      <c r="N22" s="574"/>
      <c r="O22" s="574"/>
      <c r="P22" s="574"/>
      <c r="Q22" s="574"/>
      <c r="R22" s="574"/>
      <c r="S22" s="537"/>
      <c r="T22" s="573"/>
      <c r="U22" s="573"/>
      <c r="V22" s="573"/>
      <c r="W22" s="573"/>
      <c r="X22" s="573"/>
      <c r="Y22" s="573"/>
      <c r="Z22" s="573"/>
      <c r="AA22" s="573"/>
      <c r="AB22" s="537"/>
      <c r="AC22" s="574"/>
      <c r="AD22" s="574"/>
      <c r="AE22" s="574"/>
      <c r="AF22" s="574"/>
      <c r="AG22" s="537"/>
      <c r="AH22" s="573"/>
      <c r="AI22" s="573"/>
      <c r="AJ22" s="573"/>
      <c r="AK22" s="573"/>
      <c r="AL22" s="573"/>
      <c r="AM22" s="573"/>
      <c r="AN22" s="573"/>
      <c r="AO22" s="573"/>
      <c r="AP22" s="537"/>
      <c r="AQ22" s="576"/>
      <c r="AR22" s="576"/>
      <c r="AS22" s="576"/>
      <c r="AT22" s="576"/>
      <c r="AU22" s="576"/>
      <c r="AV22" s="573"/>
      <c r="AW22" s="573"/>
      <c r="AX22" s="573"/>
      <c r="AY22" s="573"/>
      <c r="AZ22" s="573"/>
      <c r="BA22" s="573"/>
      <c r="BB22" s="573"/>
      <c r="BC22" s="573"/>
      <c r="BD22" s="573"/>
      <c r="BE22" s="573"/>
      <c r="BF22" s="573"/>
      <c r="BG22" s="573"/>
      <c r="BH22" s="573"/>
      <c r="BI22" s="573"/>
      <c r="BJ22" s="573"/>
      <c r="BK22" s="573"/>
      <c r="BL22" s="573"/>
      <c r="BM22" s="573"/>
      <c r="BN22" s="573"/>
      <c r="BO22" s="573"/>
      <c r="BP22" s="573"/>
      <c r="BQ22" s="573"/>
      <c r="BR22" s="573"/>
      <c r="BS22" s="573"/>
      <c r="BT22" s="573"/>
      <c r="BU22" s="573"/>
      <c r="BV22" s="573"/>
      <c r="BW22" s="573"/>
      <c r="BX22" s="573"/>
      <c r="BY22" s="573"/>
      <c r="BZ22" s="573"/>
      <c r="CA22" s="573"/>
      <c r="CB22" s="573"/>
      <c r="CC22" s="573"/>
      <c r="CD22" s="573"/>
      <c r="CE22" s="573"/>
      <c r="CF22" s="573"/>
      <c r="CG22" s="573"/>
      <c r="CH22" s="573"/>
      <c r="CI22" s="573"/>
      <c r="CJ22" s="573"/>
      <c r="CK22" s="573"/>
      <c r="CL22" s="573"/>
      <c r="CM22" s="537"/>
      <c r="CN22" s="573"/>
      <c r="CO22" s="573"/>
      <c r="CP22" s="573"/>
      <c r="CQ22" s="573"/>
      <c r="CR22" s="573"/>
      <c r="CS22" s="573"/>
      <c r="CT22" s="573"/>
      <c r="CU22" s="573"/>
      <c r="CV22" s="537"/>
      <c r="CW22" s="573"/>
      <c r="CX22" s="573"/>
      <c r="CY22" s="573"/>
      <c r="CZ22" s="573"/>
      <c r="DA22" s="573"/>
      <c r="DB22" s="573"/>
      <c r="DC22" s="573"/>
      <c r="DD22" s="573"/>
      <c r="DE22" s="537"/>
      <c r="DF22" s="573"/>
      <c r="DG22" s="573"/>
      <c r="DH22" s="573"/>
      <c r="DI22" s="573"/>
      <c r="DJ22" s="573"/>
      <c r="DK22" s="573"/>
      <c r="DL22" s="573"/>
      <c r="DM22" s="573"/>
      <c r="DO22" s="39"/>
      <c r="DP22" s="39"/>
      <c r="DQ22" s="39"/>
      <c r="DR22" s="39"/>
      <c r="DS22" s="39"/>
      <c r="DT22" s="39"/>
    </row>
    <row r="23" spans="2:124" x14ac:dyDescent="0.3">
      <c r="B23" s="7"/>
      <c r="C23" s="7" t="s">
        <v>266</v>
      </c>
      <c r="D23" s="7" t="s">
        <v>104</v>
      </c>
      <c r="E23" s="7" t="s">
        <v>45</v>
      </c>
      <c r="F23" s="7" t="s">
        <v>52</v>
      </c>
      <c r="G23" s="7" t="s">
        <v>150</v>
      </c>
      <c r="H23" s="7" t="s">
        <v>157</v>
      </c>
      <c r="I23" s="7" t="s">
        <v>272</v>
      </c>
      <c r="J23" s="45"/>
      <c r="K23" s="45"/>
      <c r="L23" s="45"/>
      <c r="M23" s="574"/>
      <c r="N23" s="574"/>
      <c r="O23" s="574"/>
      <c r="P23" s="574"/>
      <c r="Q23" s="574"/>
      <c r="R23" s="574"/>
      <c r="S23" s="537"/>
      <c r="T23" s="573"/>
      <c r="U23" s="573"/>
      <c r="V23" s="573"/>
      <c r="W23" s="573"/>
      <c r="X23" s="573"/>
      <c r="Y23" s="573"/>
      <c r="Z23" s="573"/>
      <c r="AA23" s="573"/>
      <c r="AB23" s="537"/>
      <c r="AC23" s="574"/>
      <c r="AD23" s="574"/>
      <c r="AE23" s="574"/>
      <c r="AF23" s="574"/>
      <c r="AG23" s="537"/>
      <c r="AH23" s="573"/>
      <c r="AI23" s="573"/>
      <c r="AJ23" s="573"/>
      <c r="AK23" s="573"/>
      <c r="AL23" s="573"/>
      <c r="AM23" s="573"/>
      <c r="AN23" s="573"/>
      <c r="AO23" s="573"/>
      <c r="AP23" s="537"/>
      <c r="AQ23" s="576"/>
      <c r="AR23" s="576"/>
      <c r="AS23" s="576"/>
      <c r="AT23" s="576"/>
      <c r="AU23" s="576"/>
      <c r="AV23" s="573"/>
      <c r="AW23" s="573"/>
      <c r="AX23" s="573"/>
      <c r="AY23" s="573"/>
      <c r="AZ23" s="573"/>
      <c r="BA23" s="573"/>
      <c r="BB23" s="573"/>
      <c r="BC23" s="573"/>
      <c r="BD23" s="573"/>
      <c r="BE23" s="573"/>
      <c r="BF23" s="573"/>
      <c r="BG23" s="573"/>
      <c r="BH23" s="573"/>
      <c r="BI23" s="573"/>
      <c r="BJ23" s="573"/>
      <c r="BK23" s="573"/>
      <c r="BL23" s="573"/>
      <c r="BM23" s="573"/>
      <c r="BN23" s="573"/>
      <c r="BO23" s="573"/>
      <c r="BP23" s="573"/>
      <c r="BQ23" s="573"/>
      <c r="BR23" s="573"/>
      <c r="BS23" s="573"/>
      <c r="BT23" s="573"/>
      <c r="BU23" s="573"/>
      <c r="BV23" s="573"/>
      <c r="BW23" s="573"/>
      <c r="BX23" s="573"/>
      <c r="BY23" s="573"/>
      <c r="BZ23" s="573"/>
      <c r="CA23" s="573"/>
      <c r="CB23" s="573"/>
      <c r="CC23" s="573"/>
      <c r="CD23" s="573"/>
      <c r="CE23" s="573"/>
      <c r="CF23" s="573"/>
      <c r="CG23" s="573"/>
      <c r="CH23" s="573"/>
      <c r="CI23" s="573"/>
      <c r="CJ23" s="573"/>
      <c r="CK23" s="573"/>
      <c r="CL23" s="573"/>
      <c r="CM23" s="537"/>
      <c r="CN23" s="573"/>
      <c r="CO23" s="573"/>
      <c r="CP23" s="573"/>
      <c r="CQ23" s="573"/>
      <c r="CR23" s="573"/>
      <c r="CS23" s="573"/>
      <c r="CT23" s="573"/>
      <c r="CU23" s="573"/>
      <c r="CV23" s="537"/>
      <c r="CW23" s="573"/>
      <c r="CX23" s="573"/>
      <c r="CY23" s="573"/>
      <c r="CZ23" s="573"/>
      <c r="DA23" s="573"/>
      <c r="DB23" s="573"/>
      <c r="DC23" s="573"/>
      <c r="DD23" s="573"/>
      <c r="DE23" s="537"/>
      <c r="DF23" s="573"/>
      <c r="DG23" s="573"/>
      <c r="DH23" s="573"/>
      <c r="DI23" s="573"/>
      <c r="DJ23" s="573"/>
      <c r="DK23" s="573"/>
      <c r="DL23" s="573"/>
      <c r="DM23" s="573"/>
      <c r="DO23" s="39"/>
      <c r="DP23" s="39"/>
      <c r="DQ23" s="39"/>
      <c r="DR23" s="39"/>
      <c r="DS23" s="39"/>
      <c r="DT23" s="39"/>
    </row>
    <row r="24" spans="2:124" x14ac:dyDescent="0.3">
      <c r="B24" s="7"/>
      <c r="C24" s="7" t="s">
        <v>275</v>
      </c>
      <c r="D24" s="7" t="s">
        <v>104</v>
      </c>
      <c r="E24" s="7" t="s">
        <v>44</v>
      </c>
      <c r="F24" s="7" t="s">
        <v>52</v>
      </c>
      <c r="G24" s="7" t="s">
        <v>150</v>
      </c>
      <c r="H24" s="7" t="s">
        <v>157</v>
      </c>
      <c r="I24" s="7" t="s">
        <v>272</v>
      </c>
      <c r="J24" s="45"/>
      <c r="K24" s="45"/>
      <c r="L24" s="45"/>
      <c r="M24" s="574"/>
      <c r="N24" s="574"/>
      <c r="O24" s="574"/>
      <c r="P24" s="574"/>
      <c r="Q24" s="574"/>
      <c r="R24" s="574"/>
      <c r="S24" s="537"/>
      <c r="T24" s="573"/>
      <c r="U24" s="573"/>
      <c r="V24" s="573"/>
      <c r="W24" s="573"/>
      <c r="X24" s="573"/>
      <c r="Y24" s="573"/>
      <c r="Z24" s="573"/>
      <c r="AA24" s="573"/>
      <c r="AB24" s="537"/>
      <c r="AC24" s="574"/>
      <c r="AD24" s="574"/>
      <c r="AE24" s="574"/>
      <c r="AF24" s="574"/>
      <c r="AG24" s="537"/>
      <c r="AH24" s="573"/>
      <c r="AI24" s="573"/>
      <c r="AJ24" s="573"/>
      <c r="AK24" s="573"/>
      <c r="AL24" s="573"/>
      <c r="AM24" s="573"/>
      <c r="AN24" s="573"/>
      <c r="AO24" s="573"/>
      <c r="AP24" s="537"/>
      <c r="AQ24" s="576"/>
      <c r="AR24" s="576"/>
      <c r="AS24" s="576"/>
      <c r="AT24" s="576"/>
      <c r="AU24" s="576"/>
      <c r="AV24" s="573"/>
      <c r="AW24" s="573"/>
      <c r="AX24" s="573"/>
      <c r="AY24" s="573"/>
      <c r="AZ24" s="573"/>
      <c r="BA24" s="573"/>
      <c r="BB24" s="573"/>
      <c r="BC24" s="573"/>
      <c r="BD24" s="573"/>
      <c r="BE24" s="573"/>
      <c r="BF24" s="573"/>
      <c r="BG24" s="573"/>
      <c r="BH24" s="573"/>
      <c r="BI24" s="573"/>
      <c r="BJ24" s="573"/>
      <c r="BK24" s="573"/>
      <c r="BL24" s="573"/>
      <c r="BM24" s="573"/>
      <c r="BN24" s="573"/>
      <c r="BO24" s="573"/>
      <c r="BP24" s="573"/>
      <c r="BQ24" s="573"/>
      <c r="BR24" s="573"/>
      <c r="BS24" s="573"/>
      <c r="BT24" s="573"/>
      <c r="BU24" s="573"/>
      <c r="BV24" s="573"/>
      <c r="BW24" s="573"/>
      <c r="BX24" s="573"/>
      <c r="BY24" s="573"/>
      <c r="BZ24" s="573"/>
      <c r="CA24" s="573"/>
      <c r="CB24" s="573"/>
      <c r="CC24" s="573"/>
      <c r="CD24" s="573"/>
      <c r="CE24" s="573"/>
      <c r="CF24" s="573"/>
      <c r="CG24" s="573"/>
      <c r="CH24" s="573"/>
      <c r="CI24" s="573"/>
      <c r="CJ24" s="573"/>
      <c r="CK24" s="573"/>
      <c r="CL24" s="573"/>
      <c r="CM24" s="537"/>
      <c r="CN24" s="573"/>
      <c r="CO24" s="573"/>
      <c r="CP24" s="573"/>
      <c r="CQ24" s="573"/>
      <c r="CR24" s="573"/>
      <c r="CS24" s="573"/>
      <c r="CT24" s="573"/>
      <c r="CU24" s="573"/>
      <c r="CV24" s="537"/>
      <c r="CW24" s="573"/>
      <c r="CX24" s="573"/>
      <c r="CY24" s="573"/>
      <c r="CZ24" s="573"/>
      <c r="DA24" s="573"/>
      <c r="DB24" s="573"/>
      <c r="DC24" s="573"/>
      <c r="DD24" s="573"/>
      <c r="DE24" s="537"/>
      <c r="DF24" s="573"/>
      <c r="DG24" s="573"/>
      <c r="DH24" s="573"/>
      <c r="DI24" s="573"/>
      <c r="DJ24" s="573"/>
      <c r="DK24" s="573"/>
      <c r="DL24" s="573"/>
      <c r="DM24" s="573"/>
      <c r="DO24" s="39"/>
      <c r="DP24" s="39"/>
      <c r="DQ24" s="39"/>
      <c r="DR24" s="39"/>
      <c r="DS24" s="39"/>
      <c r="DT24" s="39"/>
    </row>
    <row r="25" spans="2:124" x14ac:dyDescent="0.3">
      <c r="B25" s="7"/>
      <c r="C25" s="7" t="s">
        <v>267</v>
      </c>
      <c r="D25" s="7" t="s">
        <v>104</v>
      </c>
      <c r="E25" s="7" t="s">
        <v>45</v>
      </c>
      <c r="F25" s="7" t="s">
        <v>52</v>
      </c>
      <c r="G25" s="7" t="s">
        <v>150</v>
      </c>
      <c r="H25" s="7" t="s">
        <v>157</v>
      </c>
      <c r="I25" s="7" t="s">
        <v>192</v>
      </c>
      <c r="J25" s="45"/>
      <c r="K25" s="45"/>
      <c r="L25" s="45"/>
      <c r="M25" s="573"/>
      <c r="N25" s="573"/>
      <c r="O25" s="573"/>
      <c r="P25" s="573"/>
      <c r="Q25" s="573"/>
      <c r="R25" s="574"/>
      <c r="S25" s="537"/>
      <c r="T25" s="573"/>
      <c r="U25" s="573"/>
      <c r="V25" s="573"/>
      <c r="W25" s="573"/>
      <c r="X25" s="573"/>
      <c r="Y25" s="573"/>
      <c r="Z25" s="573"/>
      <c r="AA25" s="573"/>
      <c r="AB25" s="537"/>
      <c r="AC25" s="574"/>
      <c r="AD25" s="574"/>
      <c r="AE25" s="574"/>
      <c r="AF25" s="574"/>
      <c r="AG25" s="537"/>
      <c r="AH25" s="573"/>
      <c r="AI25" s="573"/>
      <c r="AJ25" s="573"/>
      <c r="AK25" s="573"/>
      <c r="AL25" s="573"/>
      <c r="AM25" s="573"/>
      <c r="AN25" s="573"/>
      <c r="AO25" s="573"/>
      <c r="AP25" s="537"/>
      <c r="AQ25" s="576"/>
      <c r="AR25" s="576"/>
      <c r="AS25" s="576"/>
      <c r="AT25" s="576"/>
      <c r="AU25" s="576"/>
      <c r="AV25" s="573"/>
      <c r="AW25" s="573"/>
      <c r="AX25" s="573"/>
      <c r="AY25" s="573"/>
      <c r="AZ25" s="573"/>
      <c r="BA25" s="573"/>
      <c r="BB25" s="573"/>
      <c r="BC25" s="573"/>
      <c r="BD25" s="573"/>
      <c r="BE25" s="573"/>
      <c r="BF25" s="573"/>
      <c r="BG25" s="573"/>
      <c r="BH25" s="573"/>
      <c r="BI25" s="573"/>
      <c r="BJ25" s="573"/>
      <c r="BK25" s="573"/>
      <c r="BL25" s="573"/>
      <c r="BM25" s="573"/>
      <c r="BN25" s="573"/>
      <c r="BO25" s="573"/>
      <c r="BP25" s="573"/>
      <c r="BQ25" s="573"/>
      <c r="BR25" s="573"/>
      <c r="BS25" s="573"/>
      <c r="BT25" s="573"/>
      <c r="BU25" s="573"/>
      <c r="BV25" s="573"/>
      <c r="BW25" s="573"/>
      <c r="BX25" s="573"/>
      <c r="BY25" s="573"/>
      <c r="BZ25" s="573"/>
      <c r="CA25" s="573"/>
      <c r="CB25" s="573"/>
      <c r="CC25" s="573"/>
      <c r="CD25" s="573"/>
      <c r="CE25" s="573"/>
      <c r="CF25" s="573"/>
      <c r="CG25" s="573"/>
      <c r="CH25" s="573"/>
      <c r="CI25" s="573"/>
      <c r="CJ25" s="573"/>
      <c r="CK25" s="573"/>
      <c r="CL25" s="573"/>
      <c r="CM25" s="537"/>
      <c r="CN25" s="573"/>
      <c r="CO25" s="573"/>
      <c r="CP25" s="573"/>
      <c r="CQ25" s="573"/>
      <c r="CR25" s="573"/>
      <c r="CS25" s="573"/>
      <c r="CT25" s="573"/>
      <c r="CU25" s="573"/>
      <c r="CV25" s="537"/>
      <c r="CW25" s="573"/>
      <c r="CX25" s="573"/>
      <c r="CY25" s="573"/>
      <c r="CZ25" s="573"/>
      <c r="DA25" s="573"/>
      <c r="DB25" s="573"/>
      <c r="DC25" s="573"/>
      <c r="DD25" s="573"/>
      <c r="DE25" s="537"/>
      <c r="DF25" s="573"/>
      <c r="DG25" s="573"/>
      <c r="DH25" s="573"/>
      <c r="DI25" s="573"/>
      <c r="DJ25" s="573"/>
      <c r="DK25" s="573"/>
      <c r="DL25" s="573"/>
      <c r="DM25" s="573"/>
      <c r="DO25" s="39"/>
      <c r="DP25" s="39"/>
      <c r="DQ25" s="39"/>
      <c r="DR25" s="39"/>
      <c r="DS25" s="39"/>
      <c r="DT25" s="39"/>
    </row>
    <row r="26" spans="2:124" x14ac:dyDescent="0.3">
      <c r="B26" s="7"/>
      <c r="C26" s="7" t="s">
        <v>538</v>
      </c>
      <c r="D26" s="7" t="s">
        <v>104</v>
      </c>
      <c r="E26" s="7" t="s">
        <v>45</v>
      </c>
      <c r="F26" s="7" t="s">
        <v>52</v>
      </c>
      <c r="G26" s="7" t="s">
        <v>150</v>
      </c>
      <c r="H26" s="7" t="s">
        <v>157</v>
      </c>
      <c r="I26" s="7" t="s">
        <v>474</v>
      </c>
      <c r="J26" s="45"/>
      <c r="K26" s="45"/>
      <c r="L26" s="45"/>
      <c r="M26" s="573"/>
      <c r="N26" s="573"/>
      <c r="O26" s="573"/>
      <c r="P26" s="573"/>
      <c r="Q26" s="573"/>
      <c r="R26" s="574"/>
      <c r="S26" s="537"/>
      <c r="T26" s="573"/>
      <c r="U26" s="573"/>
      <c r="V26" s="573"/>
      <c r="W26" s="573"/>
      <c r="X26" s="573"/>
      <c r="Y26" s="573"/>
      <c r="Z26" s="573"/>
      <c r="AA26" s="573"/>
      <c r="AB26" s="537"/>
      <c r="AC26" s="574"/>
      <c r="AD26" s="574"/>
      <c r="AE26" s="574"/>
      <c r="AF26" s="574"/>
      <c r="AG26" s="537"/>
      <c r="AH26" s="573"/>
      <c r="AI26" s="573"/>
      <c r="AJ26" s="573"/>
      <c r="AK26" s="573"/>
      <c r="AL26" s="573"/>
      <c r="AM26" s="573"/>
      <c r="AN26" s="573"/>
      <c r="AO26" s="573"/>
      <c r="AP26" s="537"/>
      <c r="AQ26" s="576"/>
      <c r="AR26" s="576"/>
      <c r="AS26" s="576"/>
      <c r="AT26" s="576"/>
      <c r="AU26" s="576"/>
      <c r="AV26" s="573"/>
      <c r="AW26" s="573"/>
      <c r="AX26" s="573"/>
      <c r="AY26" s="573"/>
      <c r="AZ26" s="573"/>
      <c r="BA26" s="573"/>
      <c r="BB26" s="573"/>
      <c r="BC26" s="573"/>
      <c r="BD26" s="573"/>
      <c r="BE26" s="573"/>
      <c r="BF26" s="573"/>
      <c r="BG26" s="573"/>
      <c r="BH26" s="573"/>
      <c r="BI26" s="573"/>
      <c r="BJ26" s="573"/>
      <c r="BK26" s="573"/>
      <c r="BL26" s="573"/>
      <c r="BM26" s="573"/>
      <c r="BN26" s="573"/>
      <c r="BO26" s="573"/>
      <c r="BP26" s="573"/>
      <c r="BQ26" s="573"/>
      <c r="BR26" s="573"/>
      <c r="BS26" s="573"/>
      <c r="BT26" s="573"/>
      <c r="BU26" s="573"/>
      <c r="BV26" s="573"/>
      <c r="BW26" s="573"/>
      <c r="BX26" s="573"/>
      <c r="BY26" s="573"/>
      <c r="BZ26" s="573"/>
      <c r="CA26" s="573"/>
      <c r="CB26" s="573"/>
      <c r="CC26" s="573"/>
      <c r="CD26" s="573"/>
      <c r="CE26" s="573"/>
      <c r="CF26" s="573"/>
      <c r="CG26" s="573"/>
      <c r="CH26" s="573"/>
      <c r="CI26" s="573"/>
      <c r="CJ26" s="573"/>
      <c r="CK26" s="573"/>
      <c r="CL26" s="573"/>
      <c r="CM26" s="537"/>
      <c r="CN26" s="573"/>
      <c r="CO26" s="573"/>
      <c r="CP26" s="573"/>
      <c r="CQ26" s="573"/>
      <c r="CR26" s="573"/>
      <c r="CS26" s="573"/>
      <c r="CT26" s="573"/>
      <c r="CU26" s="573"/>
      <c r="CV26" s="537"/>
      <c r="CW26" s="573"/>
      <c r="CX26" s="573"/>
      <c r="CY26" s="573"/>
      <c r="CZ26" s="573"/>
      <c r="DA26" s="573"/>
      <c r="DB26" s="573"/>
      <c r="DC26" s="573"/>
      <c r="DD26" s="573"/>
      <c r="DE26" s="537"/>
      <c r="DF26" s="573"/>
      <c r="DG26" s="573"/>
      <c r="DH26" s="573"/>
      <c r="DI26" s="573"/>
      <c r="DJ26" s="573"/>
      <c r="DK26" s="573"/>
      <c r="DL26" s="573"/>
      <c r="DM26" s="573"/>
      <c r="DO26" s="39"/>
    </row>
    <row r="27" spans="2:124" x14ac:dyDescent="0.3">
      <c r="B27" s="7"/>
      <c r="C27" s="7" t="s">
        <v>93</v>
      </c>
      <c r="D27" s="7" t="s">
        <v>105</v>
      </c>
      <c r="E27" s="7" t="s">
        <v>45</v>
      </c>
      <c r="F27" s="7" t="s">
        <v>52</v>
      </c>
      <c r="G27" s="7" t="s">
        <v>150</v>
      </c>
      <c r="H27" s="7" t="s">
        <v>158</v>
      </c>
      <c r="I27" s="7" t="s">
        <v>197</v>
      </c>
      <c r="J27" s="45"/>
      <c r="K27" s="45"/>
      <c r="L27" s="45"/>
      <c r="M27" s="573"/>
      <c r="N27" s="573"/>
      <c r="O27" s="573"/>
      <c r="P27" s="573"/>
      <c r="Q27" s="573"/>
      <c r="R27" s="574"/>
      <c r="S27" s="537"/>
      <c r="T27" s="573"/>
      <c r="U27" s="573"/>
      <c r="V27" s="573"/>
      <c r="W27" s="573"/>
      <c r="X27" s="573"/>
      <c r="Y27" s="573"/>
      <c r="Z27" s="573"/>
      <c r="AA27" s="573"/>
      <c r="AB27" s="537"/>
      <c r="AC27" s="574"/>
      <c r="AD27" s="574"/>
      <c r="AE27" s="574"/>
      <c r="AF27" s="574"/>
      <c r="AG27" s="537"/>
      <c r="AH27" s="573"/>
      <c r="AI27" s="573"/>
      <c r="AJ27" s="573"/>
      <c r="AK27" s="573"/>
      <c r="AL27" s="573"/>
      <c r="AM27" s="573"/>
      <c r="AN27" s="573"/>
      <c r="AO27" s="573"/>
      <c r="AP27" s="537"/>
      <c r="AQ27" s="576"/>
      <c r="AR27" s="576"/>
      <c r="AS27" s="576"/>
      <c r="AT27" s="576"/>
      <c r="AU27" s="576"/>
      <c r="AV27" s="573"/>
      <c r="AW27" s="573"/>
      <c r="AX27" s="573"/>
      <c r="AY27" s="573"/>
      <c r="AZ27" s="573"/>
      <c r="BA27" s="573"/>
      <c r="BB27" s="573"/>
      <c r="BC27" s="573"/>
      <c r="BD27" s="573"/>
      <c r="BE27" s="573"/>
      <c r="BF27" s="573"/>
      <c r="BG27" s="573"/>
      <c r="BH27" s="573"/>
      <c r="BI27" s="573"/>
      <c r="BJ27" s="573"/>
      <c r="BK27" s="573"/>
      <c r="BL27" s="573"/>
      <c r="BM27" s="573"/>
      <c r="BN27" s="573"/>
      <c r="BO27" s="573"/>
      <c r="BP27" s="573"/>
      <c r="BQ27" s="573"/>
      <c r="BR27" s="573"/>
      <c r="BS27" s="573"/>
      <c r="BT27" s="573"/>
      <c r="BU27" s="573"/>
      <c r="BV27" s="573"/>
      <c r="BW27" s="573"/>
      <c r="BX27" s="573"/>
      <c r="BY27" s="573"/>
      <c r="BZ27" s="573"/>
      <c r="CA27" s="573"/>
      <c r="CB27" s="573"/>
      <c r="CC27" s="573"/>
      <c r="CD27" s="573"/>
      <c r="CE27" s="573"/>
      <c r="CF27" s="573"/>
      <c r="CG27" s="573"/>
      <c r="CH27" s="573"/>
      <c r="CI27" s="573"/>
      <c r="CJ27" s="573"/>
      <c r="CK27" s="573"/>
      <c r="CL27" s="573"/>
      <c r="CM27" s="537"/>
      <c r="CN27" s="573"/>
      <c r="CO27" s="573"/>
      <c r="CP27" s="573"/>
      <c r="CQ27" s="573"/>
      <c r="CR27" s="573"/>
      <c r="CS27" s="573"/>
      <c r="CT27" s="573"/>
      <c r="CU27" s="573"/>
      <c r="CV27" s="537"/>
      <c r="CW27" s="573"/>
      <c r="CX27" s="573"/>
      <c r="CY27" s="573"/>
      <c r="CZ27" s="573"/>
      <c r="DA27" s="573"/>
      <c r="DB27" s="573"/>
      <c r="DC27" s="573"/>
      <c r="DD27" s="573"/>
      <c r="DE27" s="537"/>
      <c r="DF27" s="573"/>
      <c r="DG27" s="573"/>
      <c r="DH27" s="573"/>
      <c r="DI27" s="573"/>
      <c r="DJ27" s="573"/>
      <c r="DK27" s="573"/>
      <c r="DL27" s="573"/>
      <c r="DM27" s="573"/>
      <c r="DO27" s="39"/>
    </row>
    <row r="28" spans="2:124" x14ac:dyDescent="0.3">
      <c r="B28" s="7"/>
      <c r="C28" s="7" t="s">
        <v>468</v>
      </c>
      <c r="D28" s="7" t="s">
        <v>105</v>
      </c>
      <c r="E28" s="7" t="s">
        <v>45</v>
      </c>
      <c r="F28" s="7" t="s">
        <v>54</v>
      </c>
      <c r="G28" s="7" t="s">
        <v>150</v>
      </c>
      <c r="H28" s="7" t="s">
        <v>160</v>
      </c>
      <c r="I28" s="7" t="s">
        <v>187</v>
      </c>
      <c r="J28" s="45"/>
      <c r="K28" s="45"/>
      <c r="L28" s="45"/>
      <c r="M28" s="573"/>
      <c r="N28" s="573"/>
      <c r="O28" s="573"/>
      <c r="P28" s="573"/>
      <c r="Q28" s="573"/>
      <c r="R28" s="574"/>
      <c r="S28" s="537"/>
      <c r="T28" s="573"/>
      <c r="U28" s="573"/>
      <c r="V28" s="573"/>
      <c r="W28" s="573"/>
      <c r="X28" s="573"/>
      <c r="Y28" s="573"/>
      <c r="Z28" s="573"/>
      <c r="AA28" s="573"/>
      <c r="AB28" s="537"/>
      <c r="AC28" s="574"/>
      <c r="AD28" s="574"/>
      <c r="AE28" s="574"/>
      <c r="AF28" s="574"/>
      <c r="AG28" s="537"/>
      <c r="AH28" s="573"/>
      <c r="AI28" s="573"/>
      <c r="AJ28" s="573"/>
      <c r="AK28" s="573"/>
      <c r="AL28" s="573"/>
      <c r="AM28" s="573"/>
      <c r="AN28" s="573"/>
      <c r="AO28" s="573"/>
      <c r="AP28" s="537"/>
      <c r="AQ28" s="576"/>
      <c r="AR28" s="576"/>
      <c r="AS28" s="576"/>
      <c r="AT28" s="576"/>
      <c r="AU28" s="576"/>
      <c r="AV28" s="573"/>
      <c r="AW28" s="573"/>
      <c r="AX28" s="573"/>
      <c r="AY28" s="573"/>
      <c r="AZ28" s="573"/>
      <c r="BA28" s="573"/>
      <c r="BB28" s="573"/>
      <c r="BC28" s="573"/>
      <c r="BD28" s="573"/>
      <c r="BE28" s="573"/>
      <c r="BF28" s="573"/>
      <c r="BG28" s="573"/>
      <c r="BH28" s="573"/>
      <c r="BI28" s="573"/>
      <c r="BJ28" s="573"/>
      <c r="BK28" s="573"/>
      <c r="BL28" s="573"/>
      <c r="BM28" s="573"/>
      <c r="BN28" s="573"/>
      <c r="BO28" s="573"/>
      <c r="BP28" s="573"/>
      <c r="BQ28" s="573"/>
      <c r="BR28" s="573"/>
      <c r="BS28" s="573"/>
      <c r="BT28" s="573"/>
      <c r="BU28" s="573"/>
      <c r="BV28" s="573"/>
      <c r="BW28" s="573"/>
      <c r="BX28" s="573"/>
      <c r="BY28" s="573"/>
      <c r="BZ28" s="573"/>
      <c r="CA28" s="573"/>
      <c r="CB28" s="573"/>
      <c r="CC28" s="573"/>
      <c r="CD28" s="573"/>
      <c r="CE28" s="573"/>
      <c r="CF28" s="573"/>
      <c r="CG28" s="573"/>
      <c r="CH28" s="573"/>
      <c r="CI28" s="573"/>
      <c r="CJ28" s="573"/>
      <c r="CK28" s="573"/>
      <c r="CL28" s="573"/>
      <c r="CM28" s="537"/>
      <c r="CN28" s="573"/>
      <c r="CO28" s="573"/>
      <c r="CP28" s="573"/>
      <c r="CQ28" s="573"/>
      <c r="CR28" s="573"/>
      <c r="CS28" s="573"/>
      <c r="CT28" s="573"/>
      <c r="CU28" s="573"/>
      <c r="CV28" s="537"/>
      <c r="CW28" s="573"/>
      <c r="CX28" s="573"/>
      <c r="CY28" s="573"/>
      <c r="CZ28" s="573"/>
      <c r="DA28" s="573"/>
      <c r="DB28" s="573"/>
      <c r="DC28" s="573"/>
      <c r="DD28" s="573"/>
      <c r="DE28" s="537"/>
      <c r="DF28" s="573"/>
      <c r="DG28" s="573"/>
      <c r="DH28" s="573"/>
      <c r="DI28" s="573"/>
      <c r="DJ28" s="573"/>
      <c r="DK28" s="573"/>
      <c r="DL28" s="573"/>
      <c r="DM28" s="573"/>
      <c r="DO28" s="39"/>
    </row>
    <row r="29" spans="2:124" x14ac:dyDescent="0.3">
      <c r="B29" s="7"/>
      <c r="C29" s="7" t="s">
        <v>467</v>
      </c>
      <c r="D29" s="7" t="s">
        <v>105</v>
      </c>
      <c r="E29" s="7" t="s">
        <v>45</v>
      </c>
      <c r="F29" s="7" t="s">
        <v>54</v>
      </c>
      <c r="G29" s="7" t="s">
        <v>150</v>
      </c>
      <c r="H29" s="7" t="s">
        <v>160</v>
      </c>
      <c r="I29" s="7" t="s">
        <v>187</v>
      </c>
      <c r="J29" s="45"/>
      <c r="K29" s="45"/>
      <c r="L29" s="45"/>
      <c r="M29" s="573"/>
      <c r="N29" s="573"/>
      <c r="O29" s="573"/>
      <c r="P29" s="573"/>
      <c r="Q29" s="573"/>
      <c r="R29" s="574"/>
      <c r="S29" s="537"/>
      <c r="T29" s="573"/>
      <c r="U29" s="573"/>
      <c r="V29" s="573"/>
      <c r="W29" s="573"/>
      <c r="X29" s="573"/>
      <c r="Y29" s="573"/>
      <c r="Z29" s="573"/>
      <c r="AA29" s="573"/>
      <c r="AB29" s="537"/>
      <c r="AC29" s="574"/>
      <c r="AD29" s="574"/>
      <c r="AE29" s="574"/>
      <c r="AF29" s="574"/>
      <c r="AG29" s="537"/>
      <c r="AH29" s="573"/>
      <c r="AI29" s="573"/>
      <c r="AJ29" s="573"/>
      <c r="AK29" s="573"/>
      <c r="AL29" s="573"/>
      <c r="AM29" s="573"/>
      <c r="AN29" s="573"/>
      <c r="AO29" s="573"/>
      <c r="AP29" s="537"/>
      <c r="AQ29" s="576"/>
      <c r="AR29" s="576"/>
      <c r="AS29" s="576"/>
      <c r="AT29" s="576"/>
      <c r="AU29" s="576"/>
      <c r="AV29" s="573"/>
      <c r="AW29" s="573"/>
      <c r="AX29" s="573"/>
      <c r="AY29" s="573"/>
      <c r="AZ29" s="573"/>
      <c r="BA29" s="573"/>
      <c r="BB29" s="573"/>
      <c r="BC29" s="573"/>
      <c r="BD29" s="573"/>
      <c r="BE29" s="573"/>
      <c r="BF29" s="573"/>
      <c r="BG29" s="573"/>
      <c r="BH29" s="573"/>
      <c r="BI29" s="573"/>
      <c r="BJ29" s="573"/>
      <c r="BK29" s="573"/>
      <c r="BL29" s="573"/>
      <c r="BM29" s="573"/>
      <c r="BN29" s="573"/>
      <c r="BO29" s="573"/>
      <c r="BP29" s="573"/>
      <c r="BQ29" s="573"/>
      <c r="BR29" s="573"/>
      <c r="BS29" s="573"/>
      <c r="BT29" s="573"/>
      <c r="BU29" s="573"/>
      <c r="BV29" s="573"/>
      <c r="BW29" s="573"/>
      <c r="BX29" s="573"/>
      <c r="BY29" s="573"/>
      <c r="BZ29" s="573"/>
      <c r="CA29" s="573"/>
      <c r="CB29" s="573"/>
      <c r="CC29" s="573"/>
      <c r="CD29" s="573"/>
      <c r="CE29" s="573"/>
      <c r="CF29" s="573"/>
      <c r="CG29" s="573"/>
      <c r="CH29" s="573"/>
      <c r="CI29" s="573"/>
      <c r="CJ29" s="573"/>
      <c r="CK29" s="573"/>
      <c r="CL29" s="573"/>
      <c r="CM29" s="537"/>
      <c r="CN29" s="573"/>
      <c r="CO29" s="573"/>
      <c r="CP29" s="573"/>
      <c r="CQ29" s="573"/>
      <c r="CR29" s="573"/>
      <c r="CS29" s="573"/>
      <c r="CT29" s="573"/>
      <c r="CU29" s="573"/>
      <c r="CV29" s="537"/>
      <c r="CW29" s="573"/>
      <c r="CX29" s="573"/>
      <c r="CY29" s="573"/>
      <c r="CZ29" s="573"/>
      <c r="DA29" s="573"/>
      <c r="DB29" s="573"/>
      <c r="DC29" s="573"/>
      <c r="DD29" s="573"/>
      <c r="DE29" s="537"/>
      <c r="DF29" s="573"/>
      <c r="DG29" s="573"/>
      <c r="DH29" s="573"/>
      <c r="DI29" s="573"/>
      <c r="DJ29" s="573"/>
      <c r="DK29" s="573"/>
      <c r="DL29" s="573"/>
      <c r="DM29" s="573"/>
      <c r="DO29" s="39"/>
    </row>
    <row r="30" spans="2:124" x14ac:dyDescent="0.3">
      <c r="B30" s="7"/>
      <c r="C30" s="7" t="s">
        <v>94</v>
      </c>
      <c r="D30" s="7" t="s">
        <v>105</v>
      </c>
      <c r="E30" s="7" t="s">
        <v>45</v>
      </c>
      <c r="F30" s="7" t="s">
        <v>52</v>
      </c>
      <c r="G30" s="7" t="s">
        <v>150</v>
      </c>
      <c r="H30" s="7" t="s">
        <v>159</v>
      </c>
      <c r="I30" s="7" t="s">
        <v>196</v>
      </c>
      <c r="J30" s="45"/>
      <c r="K30" s="45"/>
      <c r="L30" s="45"/>
      <c r="M30" s="573"/>
      <c r="N30" s="573"/>
      <c r="O30" s="573"/>
      <c r="P30" s="573"/>
      <c r="Q30" s="573"/>
      <c r="R30" s="574"/>
      <c r="S30" s="537"/>
      <c r="T30" s="573"/>
      <c r="U30" s="573"/>
      <c r="V30" s="573"/>
      <c r="W30" s="573"/>
      <c r="X30" s="573"/>
      <c r="Y30" s="573"/>
      <c r="Z30" s="573"/>
      <c r="AA30" s="573"/>
      <c r="AB30" s="537"/>
      <c r="AC30" s="574"/>
      <c r="AD30" s="574"/>
      <c r="AE30" s="574"/>
      <c r="AF30" s="574"/>
      <c r="AG30" s="537"/>
      <c r="AH30" s="573"/>
      <c r="AI30" s="573"/>
      <c r="AJ30" s="573"/>
      <c r="AK30" s="573"/>
      <c r="AL30" s="573"/>
      <c r="AM30" s="573"/>
      <c r="AN30" s="573"/>
      <c r="AO30" s="573"/>
      <c r="AP30" s="537"/>
      <c r="AQ30" s="576"/>
      <c r="AR30" s="576"/>
      <c r="AS30" s="576"/>
      <c r="AT30" s="576"/>
      <c r="AU30" s="576"/>
      <c r="AV30" s="573"/>
      <c r="AW30" s="573"/>
      <c r="AX30" s="573"/>
      <c r="AY30" s="573"/>
      <c r="AZ30" s="573"/>
      <c r="BA30" s="573"/>
      <c r="BB30" s="573"/>
      <c r="BC30" s="573"/>
      <c r="BD30" s="573"/>
      <c r="BE30" s="573"/>
      <c r="BF30" s="573"/>
      <c r="BG30" s="573"/>
      <c r="BH30" s="573"/>
      <c r="BI30" s="573"/>
      <c r="BJ30" s="573"/>
      <c r="BK30" s="573"/>
      <c r="BL30" s="573"/>
      <c r="BM30" s="573"/>
      <c r="BN30" s="573"/>
      <c r="BO30" s="573"/>
      <c r="BP30" s="573"/>
      <c r="BQ30" s="573"/>
      <c r="BR30" s="573"/>
      <c r="BS30" s="573"/>
      <c r="BT30" s="573"/>
      <c r="BU30" s="573"/>
      <c r="BV30" s="573"/>
      <c r="BW30" s="573"/>
      <c r="BX30" s="573"/>
      <c r="BY30" s="573"/>
      <c r="BZ30" s="573"/>
      <c r="CA30" s="573"/>
      <c r="CB30" s="573"/>
      <c r="CC30" s="573"/>
      <c r="CD30" s="573"/>
      <c r="CE30" s="573"/>
      <c r="CF30" s="573"/>
      <c r="CG30" s="573"/>
      <c r="CH30" s="573"/>
      <c r="CI30" s="573"/>
      <c r="CJ30" s="573"/>
      <c r="CK30" s="573"/>
      <c r="CL30" s="573"/>
      <c r="CM30" s="537"/>
      <c r="CN30" s="573"/>
      <c r="CO30" s="573"/>
      <c r="CP30" s="573"/>
      <c r="CQ30" s="573"/>
      <c r="CR30" s="573"/>
      <c r="CS30" s="573"/>
      <c r="CT30" s="573"/>
      <c r="CU30" s="573"/>
      <c r="CV30" s="537"/>
      <c r="CW30" s="573"/>
      <c r="CX30" s="573"/>
      <c r="CY30" s="573"/>
      <c r="CZ30" s="573"/>
      <c r="DA30" s="573"/>
      <c r="DB30" s="573"/>
      <c r="DC30" s="573"/>
      <c r="DD30" s="573"/>
      <c r="DE30" s="537"/>
      <c r="DF30" s="573"/>
      <c r="DG30" s="573"/>
      <c r="DH30" s="573"/>
      <c r="DI30" s="573"/>
      <c r="DJ30" s="573"/>
      <c r="DK30" s="573"/>
      <c r="DL30" s="573"/>
      <c r="DM30" s="573"/>
      <c r="DO30" s="39"/>
    </row>
    <row r="31" spans="2:124" x14ac:dyDescent="0.3">
      <c r="B31" s="7"/>
      <c r="C31" s="7" t="s">
        <v>86</v>
      </c>
      <c r="D31" s="7" t="s">
        <v>105</v>
      </c>
      <c r="E31" s="7" t="s">
        <v>45</v>
      </c>
      <c r="F31" s="7" t="s">
        <v>52</v>
      </c>
      <c r="G31" s="7" t="s">
        <v>150</v>
      </c>
      <c r="H31" s="7" t="s">
        <v>5</v>
      </c>
      <c r="I31" s="7" t="s">
        <v>203</v>
      </c>
      <c r="J31" s="45"/>
      <c r="K31" s="45"/>
      <c r="L31" s="45"/>
      <c r="M31" s="573"/>
      <c r="N31" s="573"/>
      <c r="O31" s="573"/>
      <c r="P31" s="573"/>
      <c r="Q31" s="573"/>
      <c r="R31" s="574"/>
      <c r="S31" s="537"/>
      <c r="T31" s="573"/>
      <c r="U31" s="573"/>
      <c r="V31" s="573"/>
      <c r="W31" s="573"/>
      <c r="X31" s="573"/>
      <c r="Y31" s="573"/>
      <c r="Z31" s="573"/>
      <c r="AA31" s="573"/>
      <c r="AB31" s="537"/>
      <c r="AC31" s="574"/>
      <c r="AD31" s="574"/>
      <c r="AE31" s="574"/>
      <c r="AF31" s="574"/>
      <c r="AG31" s="537"/>
      <c r="AH31" s="573"/>
      <c r="AI31" s="573"/>
      <c r="AJ31" s="573"/>
      <c r="AK31" s="573"/>
      <c r="AL31" s="573"/>
      <c r="AM31" s="573"/>
      <c r="AN31" s="573"/>
      <c r="AO31" s="573"/>
      <c r="AP31" s="537"/>
      <c r="AQ31" s="576"/>
      <c r="AR31" s="576"/>
      <c r="AS31" s="576"/>
      <c r="AT31" s="576"/>
      <c r="AU31" s="576"/>
      <c r="AV31" s="573"/>
      <c r="AW31" s="573"/>
      <c r="AX31" s="573"/>
      <c r="AY31" s="573"/>
      <c r="AZ31" s="573"/>
      <c r="BA31" s="573"/>
      <c r="BB31" s="573"/>
      <c r="BC31" s="573"/>
      <c r="BD31" s="573"/>
      <c r="BE31" s="573"/>
      <c r="BF31" s="573"/>
      <c r="BG31" s="573"/>
      <c r="BH31" s="573"/>
      <c r="BI31" s="573"/>
      <c r="BJ31" s="573"/>
      <c r="BK31" s="573"/>
      <c r="BL31" s="573"/>
      <c r="BM31" s="573"/>
      <c r="BN31" s="573"/>
      <c r="BO31" s="573"/>
      <c r="BP31" s="573"/>
      <c r="BQ31" s="573"/>
      <c r="BR31" s="573"/>
      <c r="BS31" s="573"/>
      <c r="BT31" s="573"/>
      <c r="BU31" s="573"/>
      <c r="BV31" s="573"/>
      <c r="BW31" s="573"/>
      <c r="BX31" s="573"/>
      <c r="BY31" s="573"/>
      <c r="BZ31" s="573"/>
      <c r="CA31" s="573"/>
      <c r="CB31" s="573"/>
      <c r="CC31" s="573"/>
      <c r="CD31" s="573"/>
      <c r="CE31" s="573"/>
      <c r="CF31" s="573"/>
      <c r="CG31" s="573"/>
      <c r="CH31" s="573"/>
      <c r="CI31" s="573"/>
      <c r="CJ31" s="573"/>
      <c r="CK31" s="573"/>
      <c r="CL31" s="573"/>
      <c r="CM31" s="537"/>
      <c r="CN31" s="573"/>
      <c r="CO31" s="573"/>
      <c r="CP31" s="573"/>
      <c r="CQ31" s="573"/>
      <c r="CR31" s="573"/>
      <c r="CS31" s="573"/>
      <c r="CT31" s="573"/>
      <c r="CU31" s="573"/>
      <c r="CV31" s="537"/>
      <c r="CW31" s="573"/>
      <c r="CX31" s="573"/>
      <c r="CY31" s="573"/>
      <c r="CZ31" s="573"/>
      <c r="DA31" s="573"/>
      <c r="DB31" s="573"/>
      <c r="DC31" s="573"/>
      <c r="DD31" s="573"/>
      <c r="DE31" s="537"/>
      <c r="DF31" s="573"/>
      <c r="DG31" s="573"/>
      <c r="DH31" s="573"/>
      <c r="DI31" s="573"/>
      <c r="DJ31" s="573"/>
      <c r="DK31" s="573"/>
      <c r="DL31" s="573"/>
      <c r="DM31" s="573"/>
      <c r="DO31" s="39"/>
    </row>
    <row r="32" spans="2:124" x14ac:dyDescent="0.3">
      <c r="B32" s="7"/>
      <c r="C32" s="7" t="s">
        <v>95</v>
      </c>
      <c r="D32" s="7" t="s">
        <v>105</v>
      </c>
      <c r="E32" s="7" t="s">
        <v>45</v>
      </c>
      <c r="F32" s="7" t="s">
        <v>52</v>
      </c>
      <c r="G32" s="7" t="s">
        <v>150</v>
      </c>
      <c r="H32" s="7" t="s">
        <v>5</v>
      </c>
      <c r="I32" s="7" t="s">
        <v>198</v>
      </c>
      <c r="J32" s="45"/>
      <c r="K32" s="45"/>
      <c r="L32" s="45"/>
      <c r="M32" s="573"/>
      <c r="N32" s="573"/>
      <c r="O32" s="573"/>
      <c r="P32" s="573"/>
      <c r="Q32" s="573"/>
      <c r="R32" s="574"/>
      <c r="S32" s="537"/>
      <c r="T32" s="573"/>
      <c r="U32" s="573"/>
      <c r="V32" s="573"/>
      <c r="W32" s="573"/>
      <c r="X32" s="573"/>
      <c r="Y32" s="573"/>
      <c r="Z32" s="573"/>
      <c r="AA32" s="573"/>
      <c r="AB32" s="537"/>
      <c r="AC32" s="574"/>
      <c r="AD32" s="574"/>
      <c r="AE32" s="574"/>
      <c r="AF32" s="574"/>
      <c r="AG32" s="537"/>
      <c r="AH32" s="573"/>
      <c r="AI32" s="573"/>
      <c r="AJ32" s="573"/>
      <c r="AK32" s="573"/>
      <c r="AL32" s="573"/>
      <c r="AM32" s="573"/>
      <c r="AN32" s="573"/>
      <c r="AO32" s="573"/>
      <c r="AP32" s="537"/>
      <c r="AQ32" s="576"/>
      <c r="AR32" s="576"/>
      <c r="AS32" s="576"/>
      <c r="AT32" s="576"/>
      <c r="AU32" s="576"/>
      <c r="AV32" s="573"/>
      <c r="AW32" s="573"/>
      <c r="AX32" s="573"/>
      <c r="AY32" s="573"/>
      <c r="AZ32" s="573"/>
      <c r="BA32" s="573"/>
      <c r="BB32" s="573"/>
      <c r="BC32" s="573"/>
      <c r="BD32" s="573"/>
      <c r="BE32" s="573"/>
      <c r="BF32" s="573"/>
      <c r="BG32" s="573"/>
      <c r="BH32" s="573"/>
      <c r="BI32" s="573"/>
      <c r="BJ32" s="573"/>
      <c r="BK32" s="573"/>
      <c r="BL32" s="573"/>
      <c r="BM32" s="573"/>
      <c r="BN32" s="573"/>
      <c r="BO32" s="573"/>
      <c r="BP32" s="573"/>
      <c r="BQ32" s="573"/>
      <c r="BR32" s="573"/>
      <c r="BS32" s="573"/>
      <c r="BT32" s="573"/>
      <c r="BU32" s="573"/>
      <c r="BV32" s="573"/>
      <c r="BW32" s="573"/>
      <c r="BX32" s="573"/>
      <c r="BY32" s="573"/>
      <c r="BZ32" s="573"/>
      <c r="CA32" s="573"/>
      <c r="CB32" s="573"/>
      <c r="CC32" s="573"/>
      <c r="CD32" s="573"/>
      <c r="CE32" s="573"/>
      <c r="CF32" s="573"/>
      <c r="CG32" s="573"/>
      <c r="CH32" s="573"/>
      <c r="CI32" s="573"/>
      <c r="CJ32" s="573"/>
      <c r="CK32" s="573"/>
      <c r="CL32" s="573"/>
      <c r="CM32" s="537"/>
      <c r="CN32" s="573"/>
      <c r="CO32" s="573"/>
      <c r="CP32" s="573"/>
      <c r="CQ32" s="573"/>
      <c r="CR32" s="573"/>
      <c r="CS32" s="573"/>
      <c r="CT32" s="573"/>
      <c r="CU32" s="573"/>
      <c r="CV32" s="537"/>
      <c r="CW32" s="573"/>
      <c r="CX32" s="573"/>
      <c r="CY32" s="573"/>
      <c r="CZ32" s="573"/>
      <c r="DA32" s="573"/>
      <c r="DB32" s="573"/>
      <c r="DC32" s="573"/>
      <c r="DD32" s="573"/>
      <c r="DE32" s="537"/>
      <c r="DF32" s="573"/>
      <c r="DG32" s="573"/>
      <c r="DH32" s="573"/>
      <c r="DI32" s="573"/>
      <c r="DJ32" s="573"/>
      <c r="DK32" s="573"/>
      <c r="DL32" s="573"/>
      <c r="DM32" s="573"/>
      <c r="DO32" s="39"/>
    </row>
    <row r="33" spans="2:119" x14ac:dyDescent="0.3">
      <c r="B33" s="7"/>
      <c r="C33" s="7" t="s">
        <v>268</v>
      </c>
      <c r="D33" s="7" t="s">
        <v>105</v>
      </c>
      <c r="E33" s="7" t="s">
        <v>45</v>
      </c>
      <c r="F33" s="7" t="s">
        <v>52</v>
      </c>
      <c r="G33" s="7" t="s">
        <v>150</v>
      </c>
      <c r="H33" s="7" t="s">
        <v>5</v>
      </c>
      <c r="I33" s="7" t="s">
        <v>202</v>
      </c>
      <c r="J33" s="7"/>
      <c r="K33" s="7"/>
      <c r="L33" s="7"/>
      <c r="M33" s="576"/>
      <c r="N33" s="576"/>
      <c r="O33" s="576"/>
      <c r="P33" s="576"/>
      <c r="Q33" s="576"/>
      <c r="R33" s="574"/>
      <c r="S33" s="537"/>
      <c r="T33" s="573"/>
      <c r="U33" s="573"/>
      <c r="V33" s="573"/>
      <c r="W33" s="573"/>
      <c r="X33" s="573"/>
      <c r="Y33" s="573"/>
      <c r="Z33" s="573"/>
      <c r="AA33" s="573"/>
      <c r="AB33" s="537"/>
      <c r="AC33" s="574"/>
      <c r="AD33" s="574"/>
      <c r="AE33" s="574"/>
      <c r="AF33" s="574"/>
      <c r="AG33" s="537"/>
      <c r="AH33" s="573"/>
      <c r="AI33" s="573"/>
      <c r="AJ33" s="573"/>
      <c r="AK33" s="573"/>
      <c r="AL33" s="573"/>
      <c r="AM33" s="573"/>
      <c r="AN33" s="573"/>
      <c r="AO33" s="573"/>
      <c r="AP33" s="537"/>
      <c r="AQ33" s="576"/>
      <c r="AR33" s="576"/>
      <c r="AS33" s="576"/>
      <c r="AT33" s="576"/>
      <c r="AU33" s="576"/>
      <c r="AV33" s="573"/>
      <c r="AW33" s="573"/>
      <c r="AX33" s="573"/>
      <c r="AY33" s="573"/>
      <c r="AZ33" s="573"/>
      <c r="BA33" s="573"/>
      <c r="BB33" s="573"/>
      <c r="BC33" s="573"/>
      <c r="BD33" s="573"/>
      <c r="BE33" s="573"/>
      <c r="BF33" s="573"/>
      <c r="BG33" s="573"/>
      <c r="BH33" s="573"/>
      <c r="BI33" s="573"/>
      <c r="BJ33" s="573"/>
      <c r="BK33" s="573"/>
      <c r="BL33" s="573"/>
      <c r="BM33" s="573"/>
      <c r="BN33" s="573"/>
      <c r="BO33" s="573"/>
      <c r="BP33" s="573"/>
      <c r="BQ33" s="573"/>
      <c r="BR33" s="573"/>
      <c r="BS33" s="573"/>
      <c r="BT33" s="573"/>
      <c r="BU33" s="573"/>
      <c r="BV33" s="573"/>
      <c r="BW33" s="573"/>
      <c r="BX33" s="573"/>
      <c r="BY33" s="573"/>
      <c r="BZ33" s="573"/>
      <c r="CA33" s="573"/>
      <c r="CB33" s="573"/>
      <c r="CC33" s="573"/>
      <c r="CD33" s="573"/>
      <c r="CE33" s="573"/>
      <c r="CF33" s="573"/>
      <c r="CG33" s="573"/>
      <c r="CH33" s="573"/>
      <c r="CI33" s="573"/>
      <c r="CJ33" s="573"/>
      <c r="CK33" s="573"/>
      <c r="CL33" s="573"/>
      <c r="CM33" s="537"/>
      <c r="CN33" s="573"/>
      <c r="CO33" s="573"/>
      <c r="CP33" s="573"/>
      <c r="CQ33" s="573"/>
      <c r="CR33" s="573"/>
      <c r="CS33" s="573"/>
      <c r="CT33" s="573"/>
      <c r="CU33" s="573"/>
      <c r="CV33" s="537"/>
      <c r="CW33" s="573"/>
      <c r="CX33" s="573"/>
      <c r="CY33" s="573"/>
      <c r="CZ33" s="573"/>
      <c r="DA33" s="573"/>
      <c r="DB33" s="573"/>
      <c r="DC33" s="573"/>
      <c r="DD33" s="573"/>
      <c r="DE33" s="537"/>
      <c r="DF33" s="573"/>
      <c r="DG33" s="573"/>
      <c r="DH33" s="573"/>
      <c r="DI33" s="573"/>
      <c r="DJ33" s="573"/>
      <c r="DK33" s="573"/>
      <c r="DL33" s="573"/>
      <c r="DM33" s="573"/>
      <c r="DO33" s="39"/>
    </row>
    <row r="34" spans="2:119" x14ac:dyDescent="0.3">
      <c r="B34" s="7"/>
      <c r="C34" s="7" t="s">
        <v>269</v>
      </c>
      <c r="D34" s="7" t="s">
        <v>105</v>
      </c>
      <c r="E34" s="7" t="s">
        <v>45</v>
      </c>
      <c r="F34" s="7" t="s">
        <v>52</v>
      </c>
      <c r="G34" s="7" t="s">
        <v>150</v>
      </c>
      <c r="H34" s="7" t="s">
        <v>5</v>
      </c>
      <c r="I34" s="7" t="s">
        <v>199</v>
      </c>
      <c r="J34" s="7"/>
      <c r="K34" s="7"/>
      <c r="L34" s="7"/>
      <c r="M34" s="576"/>
      <c r="N34" s="576"/>
      <c r="O34" s="576"/>
      <c r="P34" s="576"/>
      <c r="Q34" s="576"/>
      <c r="R34" s="574"/>
      <c r="S34" s="537"/>
      <c r="T34" s="573"/>
      <c r="U34" s="573"/>
      <c r="V34" s="573"/>
      <c r="W34" s="573"/>
      <c r="X34" s="573"/>
      <c r="Y34" s="573"/>
      <c r="Z34" s="573"/>
      <c r="AA34" s="573"/>
      <c r="AB34" s="537"/>
      <c r="AC34" s="574"/>
      <c r="AD34" s="574"/>
      <c r="AE34" s="574"/>
      <c r="AF34" s="574"/>
      <c r="AG34" s="537"/>
      <c r="AH34" s="573"/>
      <c r="AI34" s="573"/>
      <c r="AJ34" s="573"/>
      <c r="AK34" s="573"/>
      <c r="AL34" s="573"/>
      <c r="AM34" s="573"/>
      <c r="AN34" s="573"/>
      <c r="AO34" s="573"/>
      <c r="AP34" s="537"/>
      <c r="AQ34" s="576"/>
      <c r="AR34" s="576"/>
      <c r="AS34" s="576"/>
      <c r="AT34" s="576"/>
      <c r="AU34" s="576"/>
      <c r="AV34" s="573"/>
      <c r="AW34" s="573"/>
      <c r="AX34" s="573"/>
      <c r="AY34" s="573"/>
      <c r="AZ34" s="573"/>
      <c r="BA34" s="573"/>
      <c r="BB34" s="573"/>
      <c r="BC34" s="573"/>
      <c r="BD34" s="573"/>
      <c r="BE34" s="573"/>
      <c r="BF34" s="573"/>
      <c r="BG34" s="573"/>
      <c r="BH34" s="573"/>
      <c r="BI34" s="573"/>
      <c r="BJ34" s="573"/>
      <c r="BK34" s="573"/>
      <c r="BL34" s="573"/>
      <c r="BM34" s="573"/>
      <c r="BN34" s="573"/>
      <c r="BO34" s="573"/>
      <c r="BP34" s="573"/>
      <c r="BQ34" s="573"/>
      <c r="BR34" s="573"/>
      <c r="BS34" s="573"/>
      <c r="BT34" s="573"/>
      <c r="BU34" s="573"/>
      <c r="BV34" s="573"/>
      <c r="BW34" s="573"/>
      <c r="BX34" s="573"/>
      <c r="BY34" s="573"/>
      <c r="BZ34" s="573"/>
      <c r="CA34" s="573"/>
      <c r="CB34" s="573"/>
      <c r="CC34" s="573"/>
      <c r="CD34" s="573"/>
      <c r="CE34" s="573"/>
      <c r="CF34" s="573"/>
      <c r="CG34" s="573"/>
      <c r="CH34" s="573"/>
      <c r="CI34" s="573"/>
      <c r="CJ34" s="573"/>
      <c r="CK34" s="573"/>
      <c r="CL34" s="573"/>
      <c r="CM34" s="537"/>
      <c r="CN34" s="573"/>
      <c r="CO34" s="573"/>
      <c r="CP34" s="573"/>
      <c r="CQ34" s="573"/>
      <c r="CR34" s="573"/>
      <c r="CS34" s="573"/>
      <c r="CT34" s="573"/>
      <c r="CU34" s="573"/>
      <c r="CV34" s="537"/>
      <c r="CW34" s="573"/>
      <c r="CX34" s="573"/>
      <c r="CY34" s="573"/>
      <c r="CZ34" s="573"/>
      <c r="DA34" s="573"/>
      <c r="DB34" s="573"/>
      <c r="DC34" s="573"/>
      <c r="DD34" s="573"/>
      <c r="DE34" s="537"/>
      <c r="DF34" s="573"/>
      <c r="DG34" s="573"/>
      <c r="DH34" s="573"/>
      <c r="DI34" s="573"/>
      <c r="DJ34" s="573"/>
      <c r="DK34" s="573"/>
      <c r="DL34" s="573"/>
      <c r="DM34" s="573"/>
      <c r="DO34" s="39"/>
    </row>
    <row r="35" spans="2:119" x14ac:dyDescent="0.3">
      <c r="B35" s="7"/>
      <c r="C35" s="7" t="s">
        <v>568</v>
      </c>
      <c r="D35" s="7" t="s">
        <v>105</v>
      </c>
      <c r="E35" s="7" t="s">
        <v>45</v>
      </c>
      <c r="F35" s="7" t="s">
        <v>52</v>
      </c>
      <c r="G35" s="7" t="s">
        <v>150</v>
      </c>
      <c r="H35" s="7" t="s">
        <v>5</v>
      </c>
      <c r="I35" s="7" t="s">
        <v>200</v>
      </c>
      <c r="J35" s="7"/>
      <c r="K35" s="7"/>
      <c r="L35" s="7"/>
      <c r="M35" s="576"/>
      <c r="N35" s="576"/>
      <c r="O35" s="576"/>
      <c r="P35" s="576"/>
      <c r="Q35" s="576"/>
      <c r="R35" s="574"/>
      <c r="S35" s="537"/>
      <c r="T35" s="573"/>
      <c r="U35" s="573"/>
      <c r="V35" s="573"/>
      <c r="W35" s="573"/>
      <c r="X35" s="573"/>
      <c r="Y35" s="573"/>
      <c r="Z35" s="573"/>
      <c r="AA35" s="573"/>
      <c r="AB35" s="537"/>
      <c r="AC35" s="574"/>
      <c r="AD35" s="574"/>
      <c r="AE35" s="574"/>
      <c r="AF35" s="574"/>
      <c r="AG35" s="537"/>
      <c r="AH35" s="573"/>
      <c r="AI35" s="573"/>
      <c r="AJ35" s="573"/>
      <c r="AK35" s="573"/>
      <c r="AL35" s="573"/>
      <c r="AM35" s="573"/>
      <c r="AN35" s="573"/>
      <c r="AO35" s="573"/>
      <c r="AP35" s="537"/>
      <c r="AQ35" s="576"/>
      <c r="AR35" s="576"/>
      <c r="AS35" s="576"/>
      <c r="AT35" s="576"/>
      <c r="AU35" s="576"/>
      <c r="AV35" s="573"/>
      <c r="AW35" s="573"/>
      <c r="AX35" s="573"/>
      <c r="AY35" s="573"/>
      <c r="AZ35" s="573"/>
      <c r="BA35" s="573"/>
      <c r="BB35" s="573"/>
      <c r="BC35" s="573"/>
      <c r="BD35" s="573"/>
      <c r="BE35" s="573"/>
      <c r="BF35" s="573"/>
      <c r="BG35" s="573"/>
      <c r="BH35" s="573"/>
      <c r="BI35" s="573"/>
      <c r="BJ35" s="573"/>
      <c r="BK35" s="573"/>
      <c r="BL35" s="573"/>
      <c r="BM35" s="573"/>
      <c r="BN35" s="573"/>
      <c r="BO35" s="573"/>
      <c r="BP35" s="573"/>
      <c r="BQ35" s="573"/>
      <c r="BR35" s="573"/>
      <c r="BS35" s="573"/>
      <c r="BT35" s="573"/>
      <c r="BU35" s="573"/>
      <c r="BV35" s="573"/>
      <c r="BW35" s="573"/>
      <c r="BX35" s="573"/>
      <c r="BY35" s="573"/>
      <c r="BZ35" s="573"/>
      <c r="CA35" s="573"/>
      <c r="CB35" s="573"/>
      <c r="CC35" s="573"/>
      <c r="CD35" s="573"/>
      <c r="CE35" s="573"/>
      <c r="CF35" s="573"/>
      <c r="CG35" s="573"/>
      <c r="CH35" s="573"/>
      <c r="CI35" s="573"/>
      <c r="CJ35" s="573"/>
      <c r="CK35" s="573"/>
      <c r="CL35" s="573"/>
      <c r="CM35" s="537"/>
      <c r="CN35" s="573"/>
      <c r="CO35" s="573"/>
      <c r="CP35" s="573"/>
      <c r="CQ35" s="573"/>
      <c r="CR35" s="573"/>
      <c r="CS35" s="573"/>
      <c r="CT35" s="573"/>
      <c r="CU35" s="573"/>
      <c r="CV35" s="537"/>
      <c r="CW35" s="573"/>
      <c r="CX35" s="573"/>
      <c r="CY35" s="573"/>
      <c r="CZ35" s="573"/>
      <c r="DA35" s="573"/>
      <c r="DB35" s="573"/>
      <c r="DC35" s="573"/>
      <c r="DD35" s="573"/>
      <c r="DE35" s="537"/>
      <c r="DF35" s="573"/>
      <c r="DG35" s="573"/>
      <c r="DH35" s="573"/>
      <c r="DI35" s="573"/>
      <c r="DJ35" s="573"/>
      <c r="DK35" s="573"/>
      <c r="DL35" s="573"/>
      <c r="DM35" s="573"/>
      <c r="DO35" s="39"/>
    </row>
    <row r="36" spans="2:119" x14ac:dyDescent="0.3">
      <c r="B36" s="7"/>
      <c r="C36" s="7" t="s">
        <v>569</v>
      </c>
      <c r="D36" s="7" t="s">
        <v>105</v>
      </c>
      <c r="E36" s="7" t="s">
        <v>45</v>
      </c>
      <c r="F36" s="7" t="s">
        <v>52</v>
      </c>
      <c r="G36" s="7" t="s">
        <v>150</v>
      </c>
      <c r="H36" s="7" t="s">
        <v>5</v>
      </c>
      <c r="I36" s="7" t="s">
        <v>199</v>
      </c>
      <c r="J36" s="7"/>
      <c r="K36" s="7"/>
      <c r="L36" s="7"/>
      <c r="M36" s="576"/>
      <c r="N36" s="576"/>
      <c r="O36" s="576"/>
      <c r="P36" s="576"/>
      <c r="Q36" s="576"/>
      <c r="R36" s="574"/>
      <c r="S36" s="537"/>
      <c r="T36" s="573"/>
      <c r="U36" s="573"/>
      <c r="V36" s="573"/>
      <c r="W36" s="573"/>
      <c r="X36" s="573"/>
      <c r="Y36" s="573"/>
      <c r="Z36" s="573"/>
      <c r="AA36" s="573"/>
      <c r="AB36" s="537"/>
      <c r="AC36" s="574"/>
      <c r="AD36" s="574"/>
      <c r="AE36" s="574"/>
      <c r="AF36" s="574"/>
      <c r="AG36" s="537"/>
      <c r="AH36" s="573"/>
      <c r="AI36" s="573"/>
      <c r="AJ36" s="573"/>
      <c r="AK36" s="573"/>
      <c r="AL36" s="573"/>
      <c r="AM36" s="573"/>
      <c r="AN36" s="573"/>
      <c r="AO36" s="573"/>
      <c r="AP36" s="537"/>
      <c r="AQ36" s="576"/>
      <c r="AR36" s="576"/>
      <c r="AS36" s="576"/>
      <c r="AT36" s="576"/>
      <c r="AU36" s="576"/>
      <c r="AV36" s="573"/>
      <c r="AW36" s="573"/>
      <c r="AX36" s="573"/>
      <c r="AY36" s="573"/>
      <c r="AZ36" s="573"/>
      <c r="BA36" s="573"/>
      <c r="BB36" s="573"/>
      <c r="BC36" s="573"/>
      <c r="BD36" s="573"/>
      <c r="BE36" s="573"/>
      <c r="BF36" s="573"/>
      <c r="BG36" s="573"/>
      <c r="BH36" s="573"/>
      <c r="BI36" s="573"/>
      <c r="BJ36" s="573"/>
      <c r="BK36" s="573"/>
      <c r="BL36" s="573"/>
      <c r="BM36" s="573"/>
      <c r="BN36" s="573"/>
      <c r="BO36" s="573"/>
      <c r="BP36" s="573"/>
      <c r="BQ36" s="573"/>
      <c r="BR36" s="573"/>
      <c r="BS36" s="573"/>
      <c r="BT36" s="573"/>
      <c r="BU36" s="573"/>
      <c r="BV36" s="573"/>
      <c r="BW36" s="573"/>
      <c r="BX36" s="573"/>
      <c r="BY36" s="573"/>
      <c r="BZ36" s="573"/>
      <c r="CA36" s="573"/>
      <c r="CB36" s="573"/>
      <c r="CC36" s="573"/>
      <c r="CD36" s="573"/>
      <c r="CE36" s="573"/>
      <c r="CF36" s="573"/>
      <c r="CG36" s="573"/>
      <c r="CH36" s="573"/>
      <c r="CI36" s="573"/>
      <c r="CJ36" s="573"/>
      <c r="CK36" s="573"/>
      <c r="CL36" s="573"/>
      <c r="CM36" s="537"/>
      <c r="CN36" s="573"/>
      <c r="CO36" s="573"/>
      <c r="CP36" s="573"/>
      <c r="CQ36" s="573"/>
      <c r="CR36" s="573"/>
      <c r="CS36" s="573"/>
      <c r="CT36" s="573"/>
      <c r="CU36" s="573"/>
      <c r="CV36" s="537"/>
      <c r="CW36" s="573"/>
      <c r="CX36" s="573"/>
      <c r="CY36" s="573"/>
      <c r="CZ36" s="573"/>
      <c r="DA36" s="573"/>
      <c r="DB36" s="573"/>
      <c r="DC36" s="573"/>
      <c r="DD36" s="573"/>
      <c r="DE36" s="537"/>
      <c r="DF36" s="573"/>
      <c r="DG36" s="573"/>
      <c r="DH36" s="573"/>
      <c r="DI36" s="573"/>
      <c r="DJ36" s="573"/>
      <c r="DK36" s="573"/>
      <c r="DL36" s="573"/>
      <c r="DM36" s="573"/>
      <c r="DO36" s="39"/>
    </row>
    <row r="37" spans="2:119" x14ac:dyDescent="0.3">
      <c r="B37" s="7"/>
      <c r="C37" s="7" t="s">
        <v>194</v>
      </c>
      <c r="D37" s="7" t="s">
        <v>105</v>
      </c>
      <c r="E37" s="7" t="s">
        <v>45</v>
      </c>
      <c r="F37" s="7" t="s">
        <v>52</v>
      </c>
      <c r="G37" s="7" t="s">
        <v>150</v>
      </c>
      <c r="H37" s="7" t="s">
        <v>5</v>
      </c>
      <c r="I37" s="7" t="s">
        <v>194</v>
      </c>
      <c r="J37" s="7"/>
      <c r="K37" s="7"/>
      <c r="L37" s="7"/>
      <c r="M37" s="576"/>
      <c r="N37" s="576"/>
      <c r="O37" s="576"/>
      <c r="P37" s="576"/>
      <c r="Q37" s="576"/>
      <c r="R37" s="574"/>
      <c r="S37" s="537"/>
      <c r="T37" s="573"/>
      <c r="U37" s="573"/>
      <c r="V37" s="573"/>
      <c r="W37" s="573"/>
      <c r="X37" s="573"/>
      <c r="Y37" s="573"/>
      <c r="Z37" s="573"/>
      <c r="AA37" s="573"/>
      <c r="AB37" s="537"/>
      <c r="AC37" s="574"/>
      <c r="AD37" s="574"/>
      <c r="AE37" s="574"/>
      <c r="AF37" s="574"/>
      <c r="AG37" s="537"/>
      <c r="AH37" s="573"/>
      <c r="AI37" s="573"/>
      <c r="AJ37" s="573"/>
      <c r="AK37" s="573"/>
      <c r="AL37" s="573"/>
      <c r="AM37" s="573"/>
      <c r="AN37" s="573"/>
      <c r="AO37" s="573"/>
      <c r="AP37" s="537"/>
      <c r="AQ37" s="576"/>
      <c r="AR37" s="576"/>
      <c r="AS37" s="576"/>
      <c r="AT37" s="576"/>
      <c r="AU37" s="576"/>
      <c r="AV37" s="573"/>
      <c r="AW37" s="573"/>
      <c r="AX37" s="573"/>
      <c r="AY37" s="573"/>
      <c r="AZ37" s="573"/>
      <c r="BA37" s="573"/>
      <c r="BB37" s="573"/>
      <c r="BC37" s="573"/>
      <c r="BD37" s="573"/>
      <c r="BE37" s="573"/>
      <c r="BF37" s="573"/>
      <c r="BG37" s="573"/>
      <c r="BH37" s="573"/>
      <c r="BI37" s="573"/>
      <c r="BJ37" s="573"/>
      <c r="BK37" s="573"/>
      <c r="BL37" s="573"/>
      <c r="BM37" s="573"/>
      <c r="BN37" s="573"/>
      <c r="BO37" s="573"/>
      <c r="BP37" s="573"/>
      <c r="BQ37" s="573"/>
      <c r="BR37" s="573"/>
      <c r="BS37" s="573"/>
      <c r="BT37" s="573"/>
      <c r="BU37" s="573"/>
      <c r="BV37" s="573"/>
      <c r="BW37" s="573"/>
      <c r="BX37" s="573"/>
      <c r="BY37" s="573"/>
      <c r="BZ37" s="573"/>
      <c r="CA37" s="573"/>
      <c r="CB37" s="573"/>
      <c r="CC37" s="573"/>
      <c r="CD37" s="573"/>
      <c r="CE37" s="573"/>
      <c r="CF37" s="573"/>
      <c r="CG37" s="573"/>
      <c r="CH37" s="573"/>
      <c r="CI37" s="573"/>
      <c r="CJ37" s="573"/>
      <c r="CK37" s="573"/>
      <c r="CL37" s="573"/>
      <c r="CM37" s="537"/>
      <c r="CN37" s="573"/>
      <c r="CO37" s="573"/>
      <c r="CP37" s="573"/>
      <c r="CQ37" s="573"/>
      <c r="CR37" s="573"/>
      <c r="CS37" s="573"/>
      <c r="CT37" s="573"/>
      <c r="CU37" s="573"/>
      <c r="CV37" s="537"/>
      <c r="CW37" s="573"/>
      <c r="CX37" s="573"/>
      <c r="CY37" s="573"/>
      <c r="CZ37" s="573"/>
      <c r="DA37" s="573"/>
      <c r="DB37" s="573"/>
      <c r="DC37" s="573"/>
      <c r="DD37" s="573"/>
      <c r="DE37" s="537"/>
      <c r="DF37" s="573"/>
      <c r="DG37" s="573"/>
      <c r="DH37" s="573"/>
      <c r="DI37" s="573"/>
      <c r="DJ37" s="573"/>
      <c r="DK37" s="573"/>
      <c r="DL37" s="573"/>
      <c r="DM37" s="573"/>
      <c r="DO37" s="39"/>
    </row>
    <row r="38" spans="2:119" x14ac:dyDescent="0.3">
      <c r="T38" s="575"/>
      <c r="U38" s="575"/>
      <c r="V38" s="575"/>
      <c r="W38" s="575"/>
      <c r="X38" s="575"/>
      <c r="Y38" s="575"/>
      <c r="Z38" s="575"/>
      <c r="AA38" s="575"/>
      <c r="AB38" s="537"/>
      <c r="AC38" s="537"/>
      <c r="AD38" s="537"/>
      <c r="AE38" s="537"/>
      <c r="AF38" s="537"/>
      <c r="AG38" s="537"/>
      <c r="AH38" s="575"/>
      <c r="AI38" s="575"/>
      <c r="AJ38" s="575"/>
      <c r="AK38" s="575"/>
      <c r="AL38" s="575"/>
      <c r="AM38" s="575"/>
      <c r="AN38" s="575"/>
      <c r="AO38" s="575"/>
      <c r="AP38" s="537"/>
      <c r="AQ38" s="575"/>
      <c r="AR38" s="575"/>
      <c r="AS38" s="575"/>
      <c r="AT38" s="575"/>
      <c r="AU38" s="575"/>
      <c r="AV38" s="575"/>
      <c r="AW38" s="575"/>
      <c r="AX38" s="575"/>
      <c r="AY38" s="575"/>
      <c r="AZ38" s="575"/>
      <c r="BA38" s="575"/>
      <c r="BB38" s="575"/>
      <c r="BC38" s="575"/>
      <c r="BD38" s="575"/>
      <c r="BE38" s="575"/>
      <c r="BF38" s="575"/>
      <c r="BG38" s="575"/>
      <c r="BH38" s="575"/>
      <c r="BI38" s="575"/>
      <c r="BJ38" s="575"/>
      <c r="BK38" s="575"/>
      <c r="BL38" s="575"/>
      <c r="BM38" s="575"/>
      <c r="BN38" s="575"/>
      <c r="BO38" s="575"/>
      <c r="BP38" s="575"/>
      <c r="BQ38" s="575"/>
      <c r="BR38" s="575"/>
      <c r="BS38" s="575"/>
      <c r="BT38" s="575"/>
      <c r="BU38" s="575"/>
      <c r="BV38" s="575"/>
      <c r="BW38" s="575"/>
      <c r="BX38" s="575"/>
      <c r="BY38" s="575"/>
      <c r="BZ38" s="575"/>
      <c r="CA38" s="575"/>
      <c r="CB38" s="575"/>
      <c r="CC38" s="575"/>
      <c r="CD38" s="575"/>
      <c r="CE38" s="575"/>
      <c r="CF38" s="575"/>
      <c r="CG38" s="575"/>
      <c r="CH38" s="575"/>
      <c r="CI38" s="575"/>
      <c r="CJ38" s="575"/>
      <c r="CK38" s="575"/>
      <c r="CL38" s="575"/>
      <c r="CM38" s="537"/>
      <c r="CN38" s="575"/>
      <c r="CO38" s="575"/>
      <c r="CP38" s="575"/>
      <c r="CQ38" s="575"/>
      <c r="CR38" s="575"/>
      <c r="CS38" s="575"/>
      <c r="CT38" s="575"/>
      <c r="CU38" s="575"/>
      <c r="CV38" s="537"/>
      <c r="CW38" s="575"/>
      <c r="CX38" s="575"/>
      <c r="CY38" s="575"/>
      <c r="CZ38" s="575"/>
      <c r="DA38" s="575"/>
      <c r="DB38" s="575"/>
      <c r="DC38" s="575"/>
      <c r="DD38" s="575"/>
      <c r="DE38" s="537"/>
      <c r="DF38" s="575"/>
      <c r="DG38" s="575"/>
      <c r="DH38" s="575"/>
      <c r="DI38" s="575"/>
      <c r="DJ38" s="575"/>
      <c r="DK38" s="575"/>
      <c r="DL38" s="575"/>
      <c r="DM38" s="575"/>
    </row>
    <row r="39" spans="2:119" x14ac:dyDescent="0.3">
      <c r="L39" s="39"/>
      <c r="M39" s="39"/>
      <c r="N39" s="39"/>
      <c r="O39" s="39"/>
      <c r="P39" s="39"/>
      <c r="DF39" s="85">
        <f t="shared" ref="DF39:DM39" si="8">IF(ISERROR((DF38-T38)/T38),0,(DF38-T38)/T38)</f>
        <v>0</v>
      </c>
      <c r="DG39" s="85">
        <f t="shared" si="8"/>
        <v>0</v>
      </c>
      <c r="DH39" s="85">
        <f t="shared" si="8"/>
        <v>0</v>
      </c>
      <c r="DI39" s="85">
        <f t="shared" si="8"/>
        <v>0</v>
      </c>
      <c r="DJ39" s="85">
        <f t="shared" si="8"/>
        <v>0</v>
      </c>
      <c r="DK39" s="85">
        <f t="shared" si="8"/>
        <v>0</v>
      </c>
      <c r="DL39" s="85">
        <f t="shared" si="8"/>
        <v>0</v>
      </c>
      <c r="DM39" s="85">
        <f t="shared" si="8"/>
        <v>0</v>
      </c>
    </row>
    <row r="40" spans="2:119" x14ac:dyDescent="0.3">
      <c r="W40" s="39"/>
      <c r="X40" s="39"/>
      <c r="Y40" s="39"/>
      <c r="Z40" s="39"/>
      <c r="AA40" s="39"/>
    </row>
    <row r="41" spans="2:119" x14ac:dyDescent="0.3">
      <c r="W41" s="39"/>
      <c r="X41" s="39"/>
      <c r="Y41" s="39"/>
      <c r="Z41" s="39"/>
      <c r="AA41" s="39"/>
      <c r="AB41" s="52"/>
      <c r="DF41" s="39"/>
      <c r="DG41" s="39"/>
      <c r="DH41" s="39"/>
      <c r="DI41" s="39"/>
      <c r="DJ41" s="39"/>
      <c r="DK41" s="39"/>
      <c r="DL41" s="39"/>
      <c r="DM41" s="39"/>
    </row>
    <row r="42" spans="2:119" x14ac:dyDescent="0.3">
      <c r="DF42" s="39"/>
      <c r="DG42" s="39"/>
      <c r="DH42" s="39"/>
      <c r="DI42" s="39"/>
      <c r="DJ42" s="39"/>
      <c r="DK42" s="39"/>
      <c r="DL42" s="39"/>
      <c r="DM42" s="39"/>
    </row>
    <row r="43" spans="2:119" x14ac:dyDescent="0.3">
      <c r="W43" s="39"/>
      <c r="X43" s="39"/>
      <c r="Y43" s="39"/>
      <c r="Z43" s="39"/>
      <c r="AA43" s="39"/>
      <c r="DF43" s="39"/>
      <c r="DG43" s="39"/>
      <c r="DH43" s="39"/>
      <c r="DI43" s="39"/>
      <c r="DJ43" s="39"/>
      <c r="DK43" s="39"/>
      <c r="DL43" s="39"/>
      <c r="DM43" s="39"/>
    </row>
    <row r="44" spans="2:119" x14ac:dyDescent="0.3">
      <c r="DF44" s="39"/>
      <c r="DG44" s="39"/>
      <c r="DH44" s="39"/>
      <c r="DI44" s="39"/>
      <c r="DJ44" s="39"/>
      <c r="DK44" s="39"/>
      <c r="DL44" s="39"/>
      <c r="DM44" s="39"/>
    </row>
  </sheetData>
  <mergeCells count="12">
    <mergeCell ref="M2:N2"/>
    <mergeCell ref="J5:Q5"/>
    <mergeCell ref="T5:AA5"/>
    <mergeCell ref="AH5:AO5"/>
    <mergeCell ref="DF5:DM5"/>
    <mergeCell ref="CW5:DD5"/>
    <mergeCell ref="CN5:CU5"/>
    <mergeCell ref="T3:AA3"/>
    <mergeCell ref="AH3:AO3"/>
    <mergeCell ref="CN3:CU3"/>
    <mergeCell ref="DF3:DM3"/>
    <mergeCell ref="CW3:DD3"/>
  </mergeCells>
  <hyperlinks>
    <hyperlink ref="B2" location="Contents!A1" display="Table of Contents" xr:uid="{00000000-0004-0000-0C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xWindow="1186" yWindow="742" count="5">
        <x14:dataValidation type="list" errorStyle="warning" showInputMessage="1" showErrorMessage="1" error="Invalid data entered" prompt="Select from drop down list" xr:uid="{00000000-0002-0000-0C00-000000000000}">
          <x14:formula1>
            <xm:f>Lookups!$C$5:$C$13</xm:f>
          </x14:formula1>
          <xm:sqref>E7:E37</xm:sqref>
        </x14:dataValidation>
        <x14:dataValidation type="list" errorStyle="warning" showInputMessage="1" showErrorMessage="1" error="Invalid data entered" prompt="Select from drop down list" xr:uid="{00000000-0002-0000-0C00-000001000000}">
          <x14:formula1>
            <xm:f>Lookups!$C$16:$C$27</xm:f>
          </x14:formula1>
          <xm:sqref>F7:F37</xm:sqref>
        </x14:dataValidation>
        <x14:dataValidation type="list" errorStyle="warning" allowBlank="1" showInputMessage="1" showErrorMessage="1" prompt="Select from drop down list" xr:uid="{00000000-0002-0000-0C00-000002000000}">
          <x14:formula1>
            <xm:f>Lab_Mat!$C$62:$C$98</xm:f>
          </x14:formula1>
          <xm:sqref>I7:I37</xm:sqref>
        </x14:dataValidation>
        <x14:dataValidation type="list" errorStyle="warning" showInputMessage="1" showErrorMessage="1" error="Invalid data entered" prompt="Select from drop down list" xr:uid="{00000000-0002-0000-0C00-000003000000}">
          <x14:formula1>
            <xm:f>Lookups!$I$5:$I$10</xm:f>
          </x14:formula1>
          <xm:sqref>G7:G37</xm:sqref>
        </x14:dataValidation>
        <x14:dataValidation type="list" errorStyle="warning" allowBlank="1" showInputMessage="1" showErrorMessage="1" prompt="Select from drop down list" xr:uid="{00000000-0002-0000-0C00-000004000000}">
          <x14:formula1>
            <xm:f>Lab_Mat!$C$13:$C$22</xm:f>
          </x14:formula1>
          <xm:sqref>H7:H37</xm:sqref>
        </x14:dataValidation>
      </x14:dataValidations>
    </ex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B1:CX41"/>
  <sheetViews>
    <sheetView zoomScale="70" zoomScaleNormal="70" zoomScalePageLayoutView="125" workbookViewId="0">
      <pane xSplit="9" topLeftCell="U1" activePane="topRight" state="frozen"/>
      <selection activeCell="K29" sqref="K29"/>
      <selection pane="topRight" activeCell="AM14" sqref="AM14"/>
    </sheetView>
  </sheetViews>
  <sheetFormatPr defaultColWidth="8.88671875" defaultRowHeight="14.4" outlineLevelCol="1" x14ac:dyDescent="0.3"/>
  <cols>
    <col min="1" max="1" width="4" style="1" customWidth="1"/>
    <col min="2" max="2" width="12.44140625" style="1" customWidth="1"/>
    <col min="3" max="3" width="62" style="1" customWidth="1"/>
    <col min="4" max="4" width="29" style="1" bestFit="1" customWidth="1"/>
    <col min="5" max="5" width="21.44140625" style="1" hidden="1" customWidth="1" outlineLevel="1"/>
    <col min="6" max="7" width="28.44140625" style="1" hidden="1" customWidth="1" outlineLevel="1"/>
    <col min="8" max="8" width="17.109375" style="1" hidden="1" customWidth="1" outlineLevel="1"/>
    <col min="9" max="9" width="19.44140625" style="1" hidden="1" customWidth="1" outlineLevel="1"/>
    <col min="10" max="10" width="9.6640625" style="1" customWidth="1" collapsed="1"/>
    <col min="11" max="17" width="9.6640625" style="1" customWidth="1"/>
    <col min="18" max="18" width="3.33203125"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8.88671875"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2.6640625" style="1" customWidth="1"/>
    <col min="77" max="84" width="8.88671875" style="1"/>
    <col min="85" max="85" width="2.88671875" style="1" customWidth="1"/>
    <col min="86" max="93" width="8.88671875" style="1"/>
    <col min="94" max="94" width="2.88671875" style="1" customWidth="1"/>
    <col min="95" max="16384" width="8.88671875" style="1"/>
  </cols>
  <sheetData>
    <row r="1" spans="2:102" ht="18" x14ac:dyDescent="0.35">
      <c r="B1" s="10" t="s">
        <v>3</v>
      </c>
      <c r="M1" s="596" t="s">
        <v>749</v>
      </c>
      <c r="N1" s="596"/>
    </row>
    <row r="2" spans="2:102" x14ac:dyDescent="0.3">
      <c r="B2" s="25" t="s">
        <v>6</v>
      </c>
    </row>
    <row r="3" spans="2:102" x14ac:dyDescent="0.3">
      <c r="J3" s="592"/>
      <c r="K3" s="592"/>
      <c r="L3" s="592"/>
      <c r="M3" s="592"/>
      <c r="N3" s="592"/>
      <c r="O3" s="592"/>
      <c r="P3" s="592"/>
      <c r="Q3" s="592"/>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2:102" ht="43.2" x14ac:dyDescent="0.3">
      <c r="C4" s="310"/>
      <c r="E4" s="34"/>
      <c r="J4" s="589" t="s">
        <v>378</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379</v>
      </c>
      <c r="CR4" s="590"/>
      <c r="CS4" s="590"/>
      <c r="CT4" s="590"/>
      <c r="CU4" s="590"/>
      <c r="CV4" s="590"/>
      <c r="CW4" s="590"/>
      <c r="CX4" s="591"/>
    </row>
    <row r="5" spans="2:102"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v>44348</v>
      </c>
      <c r="CT5" s="335">
        <f>Yr_1</f>
        <v>44742</v>
      </c>
      <c r="CU5" s="335">
        <f>Yr_2</f>
        <v>45107</v>
      </c>
      <c r="CV5" s="335">
        <f>Yr_3</f>
        <v>45473</v>
      </c>
      <c r="CW5" s="335">
        <f>Yr_4</f>
        <v>45838</v>
      </c>
      <c r="CX5" s="335">
        <f>Yr_5</f>
        <v>46203</v>
      </c>
    </row>
    <row r="6" spans="2:102" x14ac:dyDescent="0.3">
      <c r="B6" s="7"/>
      <c r="C6" s="7" t="s">
        <v>541</v>
      </c>
      <c r="D6" s="7" t="s">
        <v>540</v>
      </c>
      <c r="E6" s="7" t="s">
        <v>48</v>
      </c>
      <c r="F6" s="7" t="s">
        <v>130</v>
      </c>
      <c r="G6" s="7" t="s">
        <v>150</v>
      </c>
      <c r="H6" s="7" t="s">
        <v>5</v>
      </c>
      <c r="I6" s="7" t="s">
        <v>204</v>
      </c>
      <c r="J6" s="45"/>
      <c r="K6" s="45"/>
      <c r="L6" s="45"/>
      <c r="M6" s="45">
        <v>549.5</v>
      </c>
      <c r="N6" s="45">
        <v>549.5</v>
      </c>
      <c r="O6" s="45">
        <v>549.5</v>
      </c>
      <c r="P6" s="45">
        <v>549.5</v>
      </c>
      <c r="Q6" s="45">
        <v>0</v>
      </c>
      <c r="S6" s="47">
        <f>INDEX(Direct_Cost_Splits_Network,MATCH($H6,RIN_Asset_Cat_Network,0),MATCH($S$4,Direct_Cost_Type,0))*J6*HLOOKUP(S$5,Escalators!$I$25:$U$30,3,FALSE)</f>
        <v>0</v>
      </c>
      <c r="T6" s="47">
        <f>INDEX(Direct_Cost_Splits_Network,MATCH($H6,RIN_Asset_Cat_Network,0),MATCH($S$4,Direct_Cost_Type,0))*K6*HLOOKUP(T$5,Escalators!$I$25:$U$30,3,FALSE)</f>
        <v>0</v>
      </c>
      <c r="U6" s="47">
        <f>INDEX(Direct_Cost_Splits_Network,MATCH($H6,RIN_Asset_Cat_Network,0),MATCH($S$4,Direct_Cost_Type,0))*L6*HLOOKUP(U$5,Escalators!$I$25:$U$30,3,FALSE)</f>
        <v>0</v>
      </c>
      <c r="V6" s="47">
        <f>INDEX(Direct_Cost_Splits_Network,MATCH($H6,RIN_Asset_Cat_Network,0),MATCH($S$4,Direct_Cost_Type,0))*M6*HLOOKUP(V$5,Escalators!$I$25:$U$30,3,FALSE)</f>
        <v>56.683123434935489</v>
      </c>
      <c r="W6" s="47">
        <f>INDEX(Direct_Cost_Splits_Network,MATCH($H6,RIN_Asset_Cat_Network,0),MATCH($S$4,Direct_Cost_Type,0))*N6*HLOOKUP(W$5,Escalators!$I$25:$U$30,3,FALSE)</f>
        <v>57.264701478321662</v>
      </c>
      <c r="X6" s="47">
        <f>INDEX(Direct_Cost_Splits_Network,MATCH($H6,RIN_Asset_Cat_Network,0),MATCH($S$4,Direct_Cost_Type,0))*O6*HLOOKUP(X$5,Escalators!$I$25:$U$30,3,FALSE)</f>
        <v>57.881092136457653</v>
      </c>
      <c r="Y6" s="47">
        <f>INDEX(Direct_Cost_Splits_Network,MATCH($H6,RIN_Asset_Cat_Network,0),MATCH($S$4,Direct_Cost_Type,0))*P6*HLOOKUP(Y$5,Escalators!$I$25:$U$30,3,FALSE)</f>
        <v>58.428372868144393</v>
      </c>
      <c r="Z6" s="47">
        <f>INDEX(Direct_Cost_Splits_Network,MATCH($H6,RIN_Asset_Cat_Network,0),MATCH($S$4,Direct_Cost_Type,0))*Q6*HLOOKUP(Z$5,Escalators!$I$25:$U$30,3,FALSE)</f>
        <v>0</v>
      </c>
      <c r="AB6" s="47">
        <f>INDEX(Direct_Cost_Splits_Network,MATCH($H6,RIN_Asset_Cat_Network,0),MATCH($AG$4,Direct_Cost_Type,0))*$J6*INDEX(Act_Type_Repex_Splits,MATCH($I6,Act_Type_Repex,0),MATCH(AB$4,Mat_Type,0))*INDEX(Escalators!$I$44:$Q$49,MATCH(AB$4,Escalators!$C$44:$C$49,0),MATCH(AB$5,Escalators!$I$43:$Q$43,0))</f>
        <v>0</v>
      </c>
      <c r="AC6" s="47">
        <f>INDEX(Direct_Cost_Splits_Network,MATCH($H6,RIN_Asset_Cat_Network,0),MATCH($AG$4,Direct_Cost_Type,0))*$J6*INDEX(Act_Type_Repex_Splits,MATCH($I6,Act_Type_Repex,0),MATCH(AC$4,Mat_Type,0))*INDEX(Escalators!$I$44:$Q$49,MATCH(AC$4,Escalators!$C$44:$C$49,0),MATCH(AC$5,Escalators!$I$43:$Q$43,0))</f>
        <v>0</v>
      </c>
      <c r="AD6" s="47">
        <f>INDEX(Direct_Cost_Splits_Network,MATCH($H6,RIN_Asset_Cat_Network,0),MATCH($AG$4,Direct_Cost_Type,0))*$J6*INDEX(Act_Type_Repex_Splits,MATCH($I6,Act_Type_Repex,0),MATCH(AD$4,Mat_Type,0))*INDEX(Escalators!$I$44:$Q$49,MATCH(AD$4,Escalators!$C$44:$C$49,0),MATCH(AD$5,Escalators!$I$43:$Q$43,0))</f>
        <v>0</v>
      </c>
      <c r="AE6" s="47">
        <f>INDEX(Direct_Cost_Splits_Network,MATCH($H6,RIN_Asset_Cat_Network,0),MATCH($AG$4,Direct_Cost_Type,0))*$J6*INDEX(Act_Type_Repex_Splits,MATCH($I6,Act_Type_Repex,0),MATCH(AE$4,Mat_Type,0))*INDEX(Escalators!$I$44:$Q$49,MATCH(AE$4,Escalators!$C$44:$C$49,0),MATCH(AE$5,Escalators!$I$43:$Q$43,0))</f>
        <v>0</v>
      </c>
      <c r="AF6" s="47">
        <f>INDEX(Direct_Cost_Splits_Network,MATCH($H6,RIN_Asset_Cat_Network,0),MATCH($AG$4,Direct_Cost_Type,0))*$J6*INDEX(Act_Type_Repex_Splits,MATCH($I6,Act_Type_Repex,0),MATCH(AF$4,Mat_Type,0))*INDEX(Escalators!$I$44:$Q$49,MATCH(AF$4,Escalators!$C$44:$C$49,0),MATCH(AF$5,Escalators!$I$43:$Q$43,0))</f>
        <v>0</v>
      </c>
      <c r="AG6" s="47">
        <f>SUM(AB6:AF6)</f>
        <v>0</v>
      </c>
      <c r="AH6" s="47">
        <f>INDEX(Direct_Cost_Splits_Network,MATCH($H6,RIN_Asset_Cat_Network,0),MATCH($AY$4,Direct_Cost_Type,0))*$K6*INDEX(Act_Type_Repex_Splits,MATCH($I6,Act_Type_Repex,0),MATCH(AH$4,Mat_Type,0))*INDEX(Escalators!$I$44:$U$49,MATCH(AH$4,Escalators!$C$44:$C$49,0),MATCH(AH$5,Escalators!$I$43:$U$43,0))</f>
        <v>0</v>
      </c>
      <c r="AI6" s="47">
        <f>INDEX(Direct_Cost_Splits_Network,MATCH($H6,RIN_Asset_Cat_Network,0),MATCH($AY$4,Direct_Cost_Type,0))*$K6*INDEX(Act_Type_Repex_Splits,MATCH($I6,Act_Type_Repex,0),MATCH(AI$4,Mat_Type,0))*INDEX(Escalators!$I$44:$U$49,MATCH(AI$4,Escalators!$C$44:$C$49,0),MATCH(AI$5,Escalators!$I$43:$U$43,0))</f>
        <v>0</v>
      </c>
      <c r="AJ6" s="47">
        <f>INDEX(Direct_Cost_Splits_Network,MATCH($H6,RIN_Asset_Cat_Network,0),MATCH($AY$4,Direct_Cost_Type,0))*$K6*INDEX(Act_Type_Repex_Splits,MATCH($I6,Act_Type_Repex,0),MATCH(AJ$4,Mat_Type,0))*INDEX(Escalators!$I$44:$U$49,MATCH(AJ$4,Escalators!$C$44:$C$49,0),MATCH(AJ$5,Escalators!$I$43:$U$43,0))</f>
        <v>0</v>
      </c>
      <c r="AK6" s="47">
        <f>INDEX(Direct_Cost_Splits_Network,MATCH($H6,RIN_Asset_Cat_Network,0),MATCH($AY$4,Direct_Cost_Type,0))*$K6*INDEX(Act_Type_Repex_Splits,MATCH($I6,Act_Type_Repex,0),MATCH(AK$4,Mat_Type,0))*INDEX(Escalators!$I$44:$U$49,MATCH(AK$4,Escalators!$C$44:$C$49,0),MATCH(AK$5,Escalators!$I$43:$U$43,0))</f>
        <v>0</v>
      </c>
      <c r="AL6" s="47">
        <f>INDEX(Direct_Cost_Splits_Network,MATCH($H6,RIN_Asset_Cat_Network,0),MATCH($AY$4,Direct_Cost_Type,0))*$K6*INDEX(Act_Type_Repex_Splits,MATCH($I6,Act_Type_Repex,0),MATCH(AL$4,Mat_Type,0))*INDEX(Escalators!$I$44:$U$49,MATCH(AL$4,Escalators!$C$44:$C$49,0),MATCH(AL$5,Escalators!$I$43:$U$43,0))</f>
        <v>0</v>
      </c>
      <c r="AM6" s="47">
        <f>SUM(AH6:AL6)</f>
        <v>0</v>
      </c>
      <c r="AN6" s="47">
        <f>INDEX(Direct_Cost_Splits_Network,MATCH($H6,RIN_Asset_Cat_Network,0),MATCH($AY$4,Direct_Cost_Type,0))*$L6*INDEX(Act_Type_Repex_Splits,MATCH($I6,Act_Type_Repex,0),MATCH(AN$4,Mat_Type,0))*INDEX(Escalators!$I$44:$U$49,MATCH(AN$4,Escalators!$C$44:$C$49,0),MATCH(AN$5,Escalators!$I$43:$U$43,0))</f>
        <v>0</v>
      </c>
      <c r="AO6" s="47">
        <f>INDEX(Direct_Cost_Splits_Network,MATCH($H6,RIN_Asset_Cat_Network,0),MATCH($AY$4,Direct_Cost_Type,0))*$L6*INDEX(Act_Type_Repex_Splits,MATCH($I6,Act_Type_Repex,0),MATCH(AO$4,Mat_Type,0))*INDEX(Escalators!$I$44:$U$49,MATCH(AO$4,Escalators!$C$44:$C$49,0),MATCH(AO$5,Escalators!$I$43:$U$43,0))</f>
        <v>0</v>
      </c>
      <c r="AP6" s="47">
        <f>INDEX(Direct_Cost_Splits_Network,MATCH($H6,RIN_Asset_Cat_Network,0),MATCH($AY$4,Direct_Cost_Type,0))*$L6*INDEX(Act_Type_Repex_Splits,MATCH($I6,Act_Type_Repex,0),MATCH(AP$4,Mat_Type,0))*INDEX(Escalators!$I$44:$U$49,MATCH(AP$4,Escalators!$C$44:$C$49,0),MATCH(AP$5,Escalators!$I$43:$U$43,0))</f>
        <v>0</v>
      </c>
      <c r="AQ6" s="47">
        <f>INDEX(Direct_Cost_Splits_Network,MATCH($H6,RIN_Asset_Cat_Network,0),MATCH($AY$4,Direct_Cost_Type,0))*$L6*INDEX(Act_Type_Repex_Splits,MATCH($I6,Act_Type_Repex,0),MATCH(AQ$4,Mat_Type,0))*INDEX(Escalators!$I$44:$U$49,MATCH(AQ$4,Escalators!$C$44:$C$49,0),MATCH(AQ$5,Escalators!$I$43:$U$43,0))</f>
        <v>0</v>
      </c>
      <c r="AR6" s="47">
        <f>INDEX(Direct_Cost_Splits_Network,MATCH($H6,RIN_Asset_Cat_Network,0),MATCH($AY$4,Direct_Cost_Type,0))*$L6*INDEX(Act_Type_Repex_Splits,MATCH($I6,Act_Type_Repex,0),MATCH(AR$4,Mat_Type,0))*INDEX(Escalators!$I$44:$U$49,MATCH(AR$4,Escalators!$C$44:$C$49,0),MATCH(AR$5,Escalators!$I$43:$U$43,0))</f>
        <v>0</v>
      </c>
      <c r="AS6" s="47">
        <f>SUM(AN6:AR6)</f>
        <v>0</v>
      </c>
      <c r="AT6" s="47">
        <f>INDEX(Direct_Cost_Splits_Network,MATCH($H6,RIN_Asset_Cat_Network,0),MATCH($AY$4,Direct_Cost_Type,0))*$M6*INDEX(Act_Type_Repex_Splits,MATCH($I6,Act_Type_Repex,0),MATCH(AT$4,Mat_Type,0))*INDEX(Escalators!$I$44:$U$49,MATCH(AT$4,Escalators!$C$44:$C$49,0),MATCH(AT$5,Escalators!$I$43:$U$43,0))</f>
        <v>0</v>
      </c>
      <c r="AU6" s="47">
        <f>INDEX(Direct_Cost_Splits_Network,MATCH($H6,RIN_Asset_Cat_Network,0),MATCH($AY$4,Direct_Cost_Type,0))*$M6*INDEX(Act_Type_Repex_Splits,MATCH($I6,Act_Type_Repex,0),MATCH(AU$4,Mat_Type,0))*INDEX(Escalators!$I$44:$U$49,MATCH(AU$4,Escalators!$C$44:$C$49,0),MATCH(AU$5,Escalators!$I$43:$U$43,0))</f>
        <v>0</v>
      </c>
      <c r="AV6" s="47">
        <f>INDEX(Direct_Cost_Splits_Network,MATCH($H6,RIN_Asset_Cat_Network,0),MATCH($AY$4,Direct_Cost_Type,0))*$M6*INDEX(Act_Type_Repex_Splits,MATCH($I6,Act_Type_Repex,0),MATCH(AV$4,Mat_Type,0))*INDEX(Escalators!$I$44:$U$49,MATCH(AV$4,Escalators!$C$44:$C$49,0),MATCH(AV$5,Escalators!$I$43:$U$43,0))</f>
        <v>24.166913468912824</v>
      </c>
      <c r="AW6" s="47">
        <f>INDEX(Direct_Cost_Splits_Network,MATCH($H6,RIN_Asset_Cat_Network,0),MATCH($AY$4,Direct_Cost_Type,0))*$M6*INDEX(Act_Type_Repex_Splits,MATCH($I6,Act_Type_Repex,0),MATCH(AW$4,Mat_Type,0))*INDEX(Escalators!$I$44:$U$49,MATCH(AW$4,Escalators!$C$44:$C$49,0),MATCH(AW$5,Escalators!$I$43:$U$43,0))</f>
        <v>0</v>
      </c>
      <c r="AX6" s="47">
        <f>INDEX(Direct_Cost_Splits_Network,MATCH($H6,RIN_Asset_Cat_Network,0),MATCH($AY$4,Direct_Cost_Type,0))*$M6*INDEX(Act_Type_Repex_Splits,MATCH($I6,Act_Type_Repex,0),MATCH(AX$4,Mat_Type,0))*INDEX(Escalators!$I$44:$U$49,MATCH(AX$4,Escalators!$C$44:$C$49,0),MATCH(AX$5,Escalators!$I$43:$U$43,0))</f>
        <v>96.667653875651297</v>
      </c>
      <c r="AY6" s="47">
        <f>SUM(AT6:AX6)</f>
        <v>120.83456734456412</v>
      </c>
      <c r="AZ6" s="47">
        <f>INDEX(Direct_Cost_Splits_Network,MATCH($H6,RIN_Asset_Cat_Network,0),MATCH($BE$4,Direct_Cost_Type,0))*$N6*INDEX(Act_Type_Repex_Splits,MATCH($I6,Act_Type_Repex,0),MATCH(AZ$4,Mat_Type,0))*INDEX(Escalators!$I$44:$U$49,MATCH(AZ$4,Escalators!$C$44:$C$49,0),MATCH(AZ$5,Escalators!$I$43:$U$43,0))</f>
        <v>0</v>
      </c>
      <c r="BA6" s="47">
        <f>INDEX(Direct_Cost_Splits_Network,MATCH($H6,RIN_Asset_Cat_Network,0),MATCH($BE$4,Direct_Cost_Type,0))*$N6*INDEX(Act_Type_Repex_Splits,MATCH($I6,Act_Type_Repex,0),MATCH(BA$4,Mat_Type,0))*INDEX(Escalators!$I$44:$U$49,MATCH(BA$4,Escalators!$C$44:$C$49,0),MATCH(BA$5,Escalators!$I$43:$U$43,0))</f>
        <v>0</v>
      </c>
      <c r="BB6" s="47">
        <f>INDEX(Direct_Cost_Splits_Network,MATCH($H6,RIN_Asset_Cat_Network,0),MATCH($BE$4,Direct_Cost_Type,0))*$N6*INDEX(Act_Type_Repex_Splits,MATCH($I6,Act_Type_Repex,0),MATCH(BB$4,Mat_Type,0))*INDEX(Escalators!$I$44:$U$49,MATCH(BB$4,Escalators!$C$44:$C$49,0),MATCH(BB$5,Escalators!$I$43:$U$43,0))</f>
        <v>24.166913468912824</v>
      </c>
      <c r="BC6" s="47">
        <f>INDEX(Direct_Cost_Splits_Network,MATCH($H6,RIN_Asset_Cat_Network,0),MATCH($BE$4,Direct_Cost_Type,0))*$N6*INDEX(Act_Type_Repex_Splits,MATCH($I6,Act_Type_Repex,0),MATCH(BC$4,Mat_Type,0))*INDEX(Escalators!$I$44:$U$49,MATCH(BC$4,Escalators!$C$44:$C$49,0),MATCH(BC$5,Escalators!$I$43:$U$43,0))</f>
        <v>0</v>
      </c>
      <c r="BD6" s="47">
        <f>INDEX(Direct_Cost_Splits_Network,MATCH($H6,RIN_Asset_Cat_Network,0),MATCH($BE$4,Direct_Cost_Type,0))*$N6*INDEX(Act_Type_Repex_Splits,MATCH($I6,Act_Type_Repex,0),MATCH(BD$4,Mat_Type,0))*INDEX(Escalators!$I$44:$U$49,MATCH(BD$4,Escalators!$C$44:$C$49,0),MATCH(BD$5,Escalators!$I$43:$U$43,0))</f>
        <v>96.667653875651297</v>
      </c>
      <c r="BE6" s="47">
        <f>SUM(AZ6:BD6)</f>
        <v>120.83456734456412</v>
      </c>
      <c r="BF6" s="47">
        <f>INDEX(Direct_Cost_Splits_Network,MATCH($H6,RIN_Asset_Cat_Network,0),MATCH($BK$4,Direct_Cost_Type,0))*$O6*INDEX(Act_Type_Repex_Splits,MATCH($I6,Act_Type_Repex,0),MATCH(BF$4,Mat_Type,0))*INDEX(Escalators!$I$44:$U$49,MATCH(BF$4,Escalators!$C$44:$C$49,0),MATCH(BF$5,Escalators!$I$43:$U$43,0))</f>
        <v>0</v>
      </c>
      <c r="BG6" s="47">
        <f>INDEX(Direct_Cost_Splits_Network,MATCH($H6,RIN_Asset_Cat_Network,0),MATCH($BK$4,Direct_Cost_Type,0))*$O6*INDEX(Act_Type_Repex_Splits,MATCH($I6,Act_Type_Repex,0),MATCH(BG$4,Mat_Type,0))*INDEX(Escalators!$I$44:$U$49,MATCH(BG$4,Escalators!$C$44:$C$49,0),MATCH(BG$5,Escalators!$I$43:$U$43,0))</f>
        <v>0</v>
      </c>
      <c r="BH6" s="47">
        <f>INDEX(Direct_Cost_Splits_Network,MATCH($H6,RIN_Asset_Cat_Network,0),MATCH($BK$4,Direct_Cost_Type,0))*$O6*INDEX(Act_Type_Repex_Splits,MATCH($I6,Act_Type_Repex,0),MATCH(BH$4,Mat_Type,0))*INDEX(Escalators!$I$44:$U$49,MATCH(BH$4,Escalators!$C$44:$C$49,0),MATCH(BH$5,Escalators!$I$43:$U$43,0))</f>
        <v>24.166913468912824</v>
      </c>
      <c r="BI6" s="47">
        <f>INDEX(Direct_Cost_Splits_Network,MATCH($H6,RIN_Asset_Cat_Network,0),MATCH($BK$4,Direct_Cost_Type,0))*$O6*INDEX(Act_Type_Repex_Splits,MATCH($I6,Act_Type_Repex,0),MATCH(BI$4,Mat_Type,0))*INDEX(Escalators!$I$44:$U$49,MATCH(BI$4,Escalators!$C$44:$C$49,0),MATCH(BI$5,Escalators!$I$43:$U$43,0))</f>
        <v>0</v>
      </c>
      <c r="BJ6" s="47">
        <f>INDEX(Direct_Cost_Splits_Network,MATCH($H6,RIN_Asset_Cat_Network,0),MATCH($BK$4,Direct_Cost_Type,0))*$O6*INDEX(Act_Type_Repex_Splits,MATCH($I6,Act_Type_Repex,0),MATCH(BJ$4,Mat_Type,0))*INDEX(Escalators!$I$44:$U$49,MATCH(BJ$4,Escalators!$C$44:$C$49,0),MATCH(BJ$5,Escalators!$I$43:$U$43,0))</f>
        <v>96.667653875651297</v>
      </c>
      <c r="BK6" s="47">
        <f>SUM(BF6:BJ6)</f>
        <v>120.83456734456412</v>
      </c>
      <c r="BL6" s="47">
        <f>INDEX(Direct_Cost_Splits_Network,MATCH($H6,RIN_Asset_Cat_Network,0),MATCH($BQ$4,Direct_Cost_Type,0))*$P6*INDEX(Act_Type_Repex_Splits,MATCH($I6,Act_Type_Repex,0),MATCH(BL$4,Mat_Type,0))*INDEX(Escalators!$I$44:$U$49,MATCH(BL$4,Escalators!$C$44:$C$49,0),MATCH(BL$5,Escalators!$I$43:$U$43,0))</f>
        <v>0</v>
      </c>
      <c r="BM6" s="47">
        <f>INDEX(Direct_Cost_Splits_Network,MATCH($H6,RIN_Asset_Cat_Network,0),MATCH($BQ$4,Direct_Cost_Type,0))*$P6*INDEX(Act_Type_Repex_Splits,MATCH($I6,Act_Type_Repex,0),MATCH(BM$4,Mat_Type,0))*INDEX(Escalators!$I$44:$U$49,MATCH(BM$4,Escalators!$C$44:$C$49,0),MATCH(BM$5,Escalators!$I$43:$U$43,0))</f>
        <v>0</v>
      </c>
      <c r="BN6" s="47">
        <f>INDEX(Direct_Cost_Splits_Network,MATCH($H6,RIN_Asset_Cat_Network,0),MATCH($BQ$4,Direct_Cost_Type,0))*$P6*INDEX(Act_Type_Repex_Splits,MATCH($I6,Act_Type_Repex,0),MATCH(BN$4,Mat_Type,0))*INDEX(Escalators!$I$44:$U$49,MATCH(BN$4,Escalators!$C$44:$C$49,0),MATCH(BN$5,Escalators!$I$43:$U$43,0))</f>
        <v>24.166913468912824</v>
      </c>
      <c r="BO6" s="47">
        <f>INDEX(Direct_Cost_Splits_Network,MATCH($H6,RIN_Asset_Cat_Network,0),MATCH($BQ$4,Direct_Cost_Type,0))*$P6*INDEX(Act_Type_Repex_Splits,MATCH($I6,Act_Type_Repex,0),MATCH(BO$4,Mat_Type,0))*INDEX(Escalators!$I$44:$U$49,MATCH(BO$4,Escalators!$C$44:$C$49,0),MATCH(BO$5,Escalators!$I$43:$U$43,0))</f>
        <v>0</v>
      </c>
      <c r="BP6" s="47">
        <f>INDEX(Direct_Cost_Splits_Network,MATCH($H6,RIN_Asset_Cat_Network,0),MATCH($BQ$4,Direct_Cost_Type,0))*$P6*INDEX(Act_Type_Repex_Splits,MATCH($I6,Act_Type_Repex,0),MATCH(BP$4,Mat_Type,0))*INDEX(Escalators!$I$44:$U$49,MATCH(BP$4,Escalators!$C$44:$C$49,0),MATCH(BP$5,Escalators!$I$43:$U$43,0))</f>
        <v>96.667653875651297</v>
      </c>
      <c r="BQ6" s="47">
        <f>SUM(BL6:BP6)</f>
        <v>120.83456734456412</v>
      </c>
      <c r="BR6" s="47">
        <f>INDEX(Direct_Cost_Splits_Network,MATCH($H6,RIN_Asset_Cat_Network,0),MATCH($BW$4,Direct_Cost_Type,0))*$Q6*INDEX(Act_Type_Repex_Splits,MATCH($I6,Act_Type_Repex,0),MATCH(BR$4,Mat_Type,0))*INDEX(Escalators!$I$44:$U$49,MATCH(BR$4,Escalators!$C$44:$C$49,0),MATCH(BR$5,Escalators!$I$43:$U$43,0))</f>
        <v>0</v>
      </c>
      <c r="BS6" s="47">
        <f>INDEX(Direct_Cost_Splits_Network,MATCH($H6,RIN_Asset_Cat_Network,0),MATCH($BW$4,Direct_Cost_Type,0))*$Q6*INDEX(Act_Type_Repex_Splits,MATCH($I6,Act_Type_Repex,0),MATCH(BS$4,Mat_Type,0))*INDEX(Escalators!$I$44:$U$49,MATCH(BS$4,Escalators!$C$44:$C$49,0),MATCH(BS$5,Escalators!$I$43:$U$43,0))</f>
        <v>0</v>
      </c>
      <c r="BT6" s="47">
        <f>INDEX(Direct_Cost_Splits_Network,MATCH($H6,RIN_Asset_Cat_Network,0),MATCH($BW$4,Direct_Cost_Type,0))*$Q6*INDEX(Act_Type_Repex_Splits,MATCH($I6,Act_Type_Repex,0),MATCH(BT$4,Mat_Type,0))*INDEX(Escalators!$I$44:$U$49,MATCH(BT$4,Escalators!$C$44:$C$49,0),MATCH(BT$5,Escalators!$I$43:$U$43,0))</f>
        <v>0</v>
      </c>
      <c r="BU6" s="47">
        <f>INDEX(Direct_Cost_Splits_Network,MATCH($H6,RIN_Asset_Cat_Network,0),MATCH($BW$4,Direct_Cost_Type,0))*$Q6*INDEX(Act_Type_Repex_Splits,MATCH($I6,Act_Type_Repex,0),MATCH(BU$4,Mat_Type,0))*INDEX(Escalators!$I$44:$U$49,MATCH(BU$4,Escalators!$C$44:$C$49,0),MATCH(BU$5,Escalators!$I$43:$U$43,0))</f>
        <v>0</v>
      </c>
      <c r="BV6" s="47">
        <f>INDEX(Direct_Cost_Splits_Network,MATCH($H6,RIN_Asset_Cat_Network,0),MATCH($BW$4,Direct_Cost_Type,0))*$Q6*INDEX(Act_Type_Repex_Splits,MATCH($I6,Act_Type_Repex,0),MATCH(BV$4,Mat_Type,0))*INDEX(Escalators!$I$44:$U$49,MATCH(BV$4,Escalators!$C$44:$C$49,0),MATCH(BV$5,Escalators!$I$43:$U$43,0))</f>
        <v>0</v>
      </c>
      <c r="BW6" s="47">
        <f>SUM(BR6:BV6)</f>
        <v>0</v>
      </c>
      <c r="BY6" s="47">
        <f>INDEX(Direct_Cost_Splits_Network,MATCH($H6,RIN_Asset_Cat_Network,0),MATCH($BY$4,Direct_Cost_Type,0))*J6*HLOOKUP(BY$5,Escalators!$I$25:$U$30,6,FALSE)</f>
        <v>0</v>
      </c>
      <c r="BZ6" s="47">
        <f>INDEX(Direct_Cost_Splits_Network,MATCH($H6,RIN_Asset_Cat_Network,0),MATCH($BY$4,Direct_Cost_Type,0))*K6*HLOOKUP(BZ$5,Escalators!$I$25:$U$30,6,FALSE)</f>
        <v>0</v>
      </c>
      <c r="CA6" s="47">
        <f>INDEX(Direct_Cost_Splits_Network,MATCH($H6,RIN_Asset_Cat_Network,0),MATCH($BY$4,Direct_Cost_Type,0))*L6*HLOOKUP(CA$5,Escalators!$I$25:$U$30,6,FALSE)</f>
        <v>0</v>
      </c>
      <c r="CB6" s="47">
        <f>INDEX(Direct_Cost_Splits_Network,MATCH($H6,RIN_Asset_Cat_Network,0),MATCH($BY$4,Direct_Cost_Type,0))*M6*HLOOKUP(CB$5,Escalators!$I$25:$U$30,6,FALSE)</f>
        <v>334.38680982515274</v>
      </c>
      <c r="CC6" s="47">
        <f>INDEX(Direct_Cost_Splits_Network,MATCH($H6,RIN_Asset_Cat_Network,0),MATCH($BY$4,Direct_Cost_Type,0))*N6*HLOOKUP(CC$5,Escalators!$I$25:$U$30,6,FALSE)</f>
        <v>337.8176727488497</v>
      </c>
      <c r="CD6" s="47">
        <f>INDEX(Direct_Cost_Splits_Network,MATCH($H6,RIN_Asset_Cat_Network,0),MATCH($BY$4,Direct_Cost_Type,0))*O6*HLOOKUP(CD$5,Escalators!$I$25:$U$30,6,FALSE)</f>
        <v>341.45390331078602</v>
      </c>
      <c r="CE6" s="47">
        <f>INDEX(Direct_Cost_Splits_Network,MATCH($H6,RIN_Asset_Cat_Network,0),MATCH($BY$4,Direct_Cost_Type,0))*P6*HLOOKUP(CE$5,Escalators!$I$25:$U$30,6,FALSE)</f>
        <v>344.68243848770805</v>
      </c>
      <c r="CF6" s="47">
        <f>INDEX(Direct_Cost_Splits_Network,MATCH($H6,RIN_Asset_Cat_Network,0),MATCH($BY$4,Direct_Cost_Type,0))*Q6*HLOOKUP(CF$5,Escalators!$I$25:$U$30,6,FALSE)</f>
        <v>0</v>
      </c>
      <c r="CH6" s="83">
        <f t="shared" ref="CH6:CO9" si="8">INDEX(Direct_Cost_Splits_Network,MATCH($H6,RIN_Asset_Cat_Network,0),MATCH($CH$4,Direct_Cost_Type,0))*J6</f>
        <v>0</v>
      </c>
      <c r="CI6" s="83">
        <f t="shared" si="8"/>
        <v>0</v>
      </c>
      <c r="CJ6" s="83">
        <f t="shared" si="8"/>
        <v>0</v>
      </c>
      <c r="CK6" s="83">
        <f t="shared" si="8"/>
        <v>50.094151940237111</v>
      </c>
      <c r="CL6" s="83">
        <f t="shared" si="8"/>
        <v>50.094151940237111</v>
      </c>
      <c r="CM6" s="83">
        <f t="shared" si="8"/>
        <v>50.094151940237111</v>
      </c>
      <c r="CN6" s="83">
        <f t="shared" si="8"/>
        <v>50.094151940237111</v>
      </c>
      <c r="CO6" s="83">
        <f t="shared" si="8"/>
        <v>0</v>
      </c>
      <c r="CQ6" s="47">
        <f t="shared" ref="CQ6:CQ9" si="9">S6+AG6+BY6+CH6</f>
        <v>0</v>
      </c>
      <c r="CR6" s="47">
        <f t="shared" ref="CR6:CR9" si="10">T6+AM6+BZ6+CI6</f>
        <v>0</v>
      </c>
      <c r="CS6" s="47">
        <f t="shared" ref="CS6:CS9" si="11">U6+AS6+CA6+CJ6</f>
        <v>0</v>
      </c>
      <c r="CT6" s="47">
        <f t="shared" ref="CT6:CT9" si="12">V6+AY6+CB6+CK6</f>
        <v>561.99865254488941</v>
      </c>
      <c r="CU6" s="47">
        <f t="shared" ref="CU6:CU9" si="13">W6+BE6+CC6+CL6</f>
        <v>566.0110935119726</v>
      </c>
      <c r="CV6" s="47">
        <f t="shared" ref="CV6:CV9" si="14">X6+BK6+CD6+CM6</f>
        <v>570.26371473204483</v>
      </c>
      <c r="CW6" s="47">
        <f t="shared" ref="CW6:CW9" si="15">Y6+BQ6+CE6+CN6</f>
        <v>574.03953064065365</v>
      </c>
      <c r="CX6" s="47">
        <f t="shared" ref="CX6:CX9" si="16">Z6+BW6+CF6+CO6</f>
        <v>0</v>
      </c>
    </row>
    <row r="7" spans="2:102" x14ac:dyDescent="0.3">
      <c r="B7" s="7"/>
      <c r="C7" s="7" t="s">
        <v>480</v>
      </c>
      <c r="D7" s="7" t="s">
        <v>99</v>
      </c>
      <c r="E7" s="7" t="s">
        <v>48</v>
      </c>
      <c r="F7" s="7" t="s">
        <v>130</v>
      </c>
      <c r="G7" s="7" t="s">
        <v>150</v>
      </c>
      <c r="H7" s="7" t="s">
        <v>5</v>
      </c>
      <c r="I7" s="7" t="s">
        <v>204</v>
      </c>
      <c r="J7" s="45"/>
      <c r="K7" s="45"/>
      <c r="L7" s="45"/>
      <c r="M7" s="45">
        <v>333.6</v>
      </c>
      <c r="N7" s="45">
        <v>333.6</v>
      </c>
      <c r="O7" s="45">
        <v>333.6</v>
      </c>
      <c r="P7" s="45">
        <v>333.6</v>
      </c>
      <c r="Q7" s="45">
        <v>0</v>
      </c>
      <c r="S7" s="47">
        <f>INDEX(Direct_Cost_Splits_Network,MATCH($H7,RIN_Asset_Cat_Network,0),MATCH($S$4,Direct_Cost_Type,0))*J7*HLOOKUP(S$5,Escalators!$I$25:$U$30,3,FALSE)</f>
        <v>0</v>
      </c>
      <c r="T7" s="47">
        <f>INDEX(Direct_Cost_Splits_Network,MATCH($H7,RIN_Asset_Cat_Network,0),MATCH($S$4,Direct_Cost_Type,0))*K7*HLOOKUP(T$5,Escalators!$I$25:$U$30,3,FALSE)</f>
        <v>0</v>
      </c>
      <c r="U7" s="47">
        <f>INDEX(Direct_Cost_Splits_Network,MATCH($H7,RIN_Asset_Cat_Network,0),MATCH($S$4,Direct_Cost_Type,0))*L7*HLOOKUP(U$5,Escalators!$I$25:$U$30,3,FALSE)</f>
        <v>0</v>
      </c>
      <c r="V7" s="47">
        <f>INDEX(Direct_Cost_Splits_Network,MATCH($H7,RIN_Asset_Cat_Network,0),MATCH($S$4,Direct_Cost_Type,0))*M7*HLOOKUP(V$5,Escalators!$I$25:$U$30,3,FALSE)</f>
        <v>34.412174664048187</v>
      </c>
      <c r="W7" s="47">
        <f>INDEX(Direct_Cost_Splits_Network,MATCH($H7,RIN_Asset_Cat_Network,0),MATCH($S$4,Direct_Cost_Type,0))*N7*HLOOKUP(W$5,Escalators!$I$25:$U$30,3,FALSE)</f>
        <v>34.765249159541597</v>
      </c>
      <c r="X7" s="47">
        <f>INDEX(Direct_Cost_Splits_Network,MATCH($H7,RIN_Asset_Cat_Network,0),MATCH($S$4,Direct_Cost_Type,0))*O7*HLOOKUP(X$5,Escalators!$I$25:$U$30,3,FALSE)</f>
        <v>35.139458301587396</v>
      </c>
      <c r="Y7" s="47">
        <f>INDEX(Direct_Cost_Splits_Network,MATCH($H7,RIN_Asset_Cat_Network,0),MATCH($S$4,Direct_Cost_Type,0))*P7*HLOOKUP(Y$5,Escalators!$I$25:$U$30,3,FALSE)</f>
        <v>35.471710989650539</v>
      </c>
      <c r="Z7" s="47">
        <f>INDEX(Direct_Cost_Splits_Network,MATCH($H7,RIN_Asset_Cat_Network,0),MATCH($S$4,Direct_Cost_Type,0))*Q7*HLOOKUP(Z$5,Escalators!$I$25:$U$30,3,FALSE)</f>
        <v>0</v>
      </c>
      <c r="AB7" s="47">
        <f>INDEX(Direct_Cost_Splits_Network,MATCH($H7,RIN_Asset_Cat_Network,0),MATCH($AG$4,Direct_Cost_Type,0))*$J7*INDEX(Act_Type_Repex_Splits,MATCH($I7,Act_Type_Repex,0),MATCH(AB$4,Mat_Type,0))*INDEX(Escalators!$I$44:$Q$49,MATCH(AB$4,Escalators!$C$44:$C$49,0),MATCH(AB$5,Escalators!$I$43:$Q$43,0))</f>
        <v>0</v>
      </c>
      <c r="AC7" s="47">
        <f>INDEX(Direct_Cost_Splits_Network,MATCH($H7,RIN_Asset_Cat_Network,0),MATCH($AG$4,Direct_Cost_Type,0))*$J7*INDEX(Act_Type_Repex_Splits,MATCH($I7,Act_Type_Repex,0),MATCH(AC$4,Mat_Type,0))*INDEX(Escalators!$I$44:$Q$49,MATCH(AC$4,Escalators!$C$44:$C$49,0),MATCH(AC$5,Escalators!$I$43:$Q$43,0))</f>
        <v>0</v>
      </c>
      <c r="AD7" s="47">
        <f>INDEX(Direct_Cost_Splits_Network,MATCH($H7,RIN_Asset_Cat_Network,0),MATCH($AG$4,Direct_Cost_Type,0))*$J7*INDEX(Act_Type_Repex_Splits,MATCH($I7,Act_Type_Repex,0),MATCH(AD$4,Mat_Type,0))*INDEX(Escalators!$I$44:$Q$49,MATCH(AD$4,Escalators!$C$44:$C$49,0),MATCH(AD$5,Escalators!$I$43:$Q$43,0))</f>
        <v>0</v>
      </c>
      <c r="AE7" s="47">
        <f>INDEX(Direct_Cost_Splits_Network,MATCH($H7,RIN_Asset_Cat_Network,0),MATCH($AG$4,Direct_Cost_Type,0))*$J7*INDEX(Act_Type_Repex_Splits,MATCH($I7,Act_Type_Repex,0),MATCH(AE$4,Mat_Type,0))*INDEX(Escalators!$I$44:$Q$49,MATCH(AE$4,Escalators!$C$44:$C$49,0),MATCH(AE$5,Escalators!$I$43:$Q$43,0))</f>
        <v>0</v>
      </c>
      <c r="AF7" s="47">
        <f>INDEX(Direct_Cost_Splits_Network,MATCH($H7,RIN_Asset_Cat_Network,0),MATCH($AG$4,Direct_Cost_Type,0))*$J7*INDEX(Act_Type_Repex_Splits,MATCH($I7,Act_Type_Repex,0),MATCH(AF$4,Mat_Type,0))*INDEX(Escalators!$I$44:$Q$49,MATCH(AF$4,Escalators!$C$44:$C$49,0),MATCH(AF$5,Escalators!$I$43:$Q$43,0))</f>
        <v>0</v>
      </c>
      <c r="AG7" s="47">
        <f t="shared" ref="AG7:AG9" si="17">SUM(AB7:AF7)</f>
        <v>0</v>
      </c>
      <c r="AH7" s="47">
        <f>INDEX(Direct_Cost_Splits_Network,MATCH($H7,RIN_Asset_Cat_Network,0),MATCH($AY$4,Direct_Cost_Type,0))*$K7*INDEX(Act_Type_Repex_Splits,MATCH($I7,Act_Type_Repex,0),MATCH(AH$4,Mat_Type,0))*INDEX(Escalators!$I$44:$U$49,MATCH(AH$4,Escalators!$C$44:$C$49,0),MATCH(AH$5,Escalators!$I$43:$U$43,0))</f>
        <v>0</v>
      </c>
      <c r="AI7" s="47">
        <f>INDEX(Direct_Cost_Splits_Network,MATCH($H7,RIN_Asset_Cat_Network,0),MATCH($AY$4,Direct_Cost_Type,0))*$K7*INDEX(Act_Type_Repex_Splits,MATCH($I7,Act_Type_Repex,0),MATCH(AI$4,Mat_Type,0))*INDEX(Escalators!$I$44:$U$49,MATCH(AI$4,Escalators!$C$44:$C$49,0),MATCH(AI$5,Escalators!$I$43:$U$43,0))</f>
        <v>0</v>
      </c>
      <c r="AJ7" s="47">
        <f>INDEX(Direct_Cost_Splits_Network,MATCH($H7,RIN_Asset_Cat_Network,0),MATCH($AY$4,Direct_Cost_Type,0))*$K7*INDEX(Act_Type_Repex_Splits,MATCH($I7,Act_Type_Repex,0),MATCH(AJ$4,Mat_Type,0))*INDEX(Escalators!$I$44:$U$49,MATCH(AJ$4,Escalators!$C$44:$C$49,0),MATCH(AJ$5,Escalators!$I$43:$U$43,0))</f>
        <v>0</v>
      </c>
      <c r="AK7" s="47">
        <f>INDEX(Direct_Cost_Splits_Network,MATCH($H7,RIN_Asset_Cat_Network,0),MATCH($AY$4,Direct_Cost_Type,0))*$K7*INDEX(Act_Type_Repex_Splits,MATCH($I7,Act_Type_Repex,0),MATCH(AK$4,Mat_Type,0))*INDEX(Escalators!$I$44:$U$49,MATCH(AK$4,Escalators!$C$44:$C$49,0),MATCH(AK$5,Escalators!$I$43:$U$43,0))</f>
        <v>0</v>
      </c>
      <c r="AL7" s="47">
        <f>INDEX(Direct_Cost_Splits_Network,MATCH($H7,RIN_Asset_Cat_Network,0),MATCH($AY$4,Direct_Cost_Type,0))*$K7*INDEX(Act_Type_Repex_Splits,MATCH($I7,Act_Type_Repex,0),MATCH(AL$4,Mat_Type,0))*INDEX(Escalators!$I$44:$U$49,MATCH(AL$4,Escalators!$C$44:$C$49,0),MATCH(AL$5,Escalators!$I$43:$U$43,0))</f>
        <v>0</v>
      </c>
      <c r="AM7" s="47">
        <f t="shared" ref="AM7:AM9" si="18">SUM(AH7:AL7)</f>
        <v>0</v>
      </c>
      <c r="AN7" s="47">
        <f>INDEX(Direct_Cost_Splits_Network,MATCH($H7,RIN_Asset_Cat_Network,0),MATCH($AY$4,Direct_Cost_Type,0))*$L7*INDEX(Act_Type_Repex_Splits,MATCH($I7,Act_Type_Repex,0),MATCH(AN$4,Mat_Type,0))*INDEX(Escalators!$I$44:$U$49,MATCH(AN$4,Escalators!$C$44:$C$49,0),MATCH(AN$5,Escalators!$I$43:$U$43,0))</f>
        <v>0</v>
      </c>
      <c r="AO7" s="47">
        <f>INDEX(Direct_Cost_Splits_Network,MATCH($H7,RIN_Asset_Cat_Network,0),MATCH($AY$4,Direct_Cost_Type,0))*$L7*INDEX(Act_Type_Repex_Splits,MATCH($I7,Act_Type_Repex,0),MATCH(AO$4,Mat_Type,0))*INDEX(Escalators!$I$44:$U$49,MATCH(AO$4,Escalators!$C$44:$C$49,0),MATCH(AO$5,Escalators!$I$43:$U$43,0))</f>
        <v>0</v>
      </c>
      <c r="AP7" s="47">
        <f>INDEX(Direct_Cost_Splits_Network,MATCH($H7,RIN_Asset_Cat_Network,0),MATCH($AY$4,Direct_Cost_Type,0))*$L7*INDEX(Act_Type_Repex_Splits,MATCH($I7,Act_Type_Repex,0),MATCH(AP$4,Mat_Type,0))*INDEX(Escalators!$I$44:$U$49,MATCH(AP$4,Escalators!$C$44:$C$49,0),MATCH(AP$5,Escalators!$I$43:$U$43,0))</f>
        <v>0</v>
      </c>
      <c r="AQ7" s="47">
        <f>INDEX(Direct_Cost_Splits_Network,MATCH($H7,RIN_Asset_Cat_Network,0),MATCH($AY$4,Direct_Cost_Type,0))*$L7*INDEX(Act_Type_Repex_Splits,MATCH($I7,Act_Type_Repex,0),MATCH(AQ$4,Mat_Type,0))*INDEX(Escalators!$I$44:$U$49,MATCH(AQ$4,Escalators!$C$44:$C$49,0),MATCH(AQ$5,Escalators!$I$43:$U$43,0))</f>
        <v>0</v>
      </c>
      <c r="AR7" s="47">
        <f>INDEX(Direct_Cost_Splits_Network,MATCH($H7,RIN_Asset_Cat_Network,0),MATCH($AY$4,Direct_Cost_Type,0))*$L7*INDEX(Act_Type_Repex_Splits,MATCH($I7,Act_Type_Repex,0),MATCH(AR$4,Mat_Type,0))*INDEX(Escalators!$I$44:$U$49,MATCH(AR$4,Escalators!$C$44:$C$49,0),MATCH(AR$5,Escalators!$I$43:$U$43,0))</f>
        <v>0</v>
      </c>
      <c r="AS7" s="47">
        <f t="shared" ref="AS7:AS9" si="19">SUM(AN7:AR7)</f>
        <v>0</v>
      </c>
      <c r="AT7" s="47">
        <f>INDEX(Direct_Cost_Splits_Network,MATCH($H7,RIN_Asset_Cat_Network,0),MATCH($AY$4,Direct_Cost_Type,0))*$M7*INDEX(Act_Type_Repex_Splits,MATCH($I7,Act_Type_Repex,0),MATCH(AT$4,Mat_Type,0))*INDEX(Escalators!$I$44:$U$49,MATCH(AT$4,Escalators!$C$44:$C$49,0),MATCH(AT$5,Escalators!$I$43:$U$43,0))</f>
        <v>0</v>
      </c>
      <c r="AU7" s="47">
        <f>INDEX(Direct_Cost_Splits_Network,MATCH($H7,RIN_Asset_Cat_Network,0),MATCH($AY$4,Direct_Cost_Type,0))*$M7*INDEX(Act_Type_Repex_Splits,MATCH($I7,Act_Type_Repex,0),MATCH(AU$4,Mat_Type,0))*INDEX(Escalators!$I$44:$U$49,MATCH(AU$4,Escalators!$C$44:$C$49,0),MATCH(AU$5,Escalators!$I$43:$U$43,0))</f>
        <v>0</v>
      </c>
      <c r="AV7" s="47">
        <f>INDEX(Direct_Cost_Splits_Network,MATCH($H7,RIN_Asset_Cat_Network,0),MATCH($AY$4,Direct_Cost_Type,0))*$M7*INDEX(Act_Type_Repex_Splits,MATCH($I7,Act_Type_Repex,0),MATCH(AV$4,Mat_Type,0))*INDEX(Escalators!$I$44:$U$49,MATCH(AV$4,Escalators!$C$44:$C$49,0),MATCH(AV$5,Escalators!$I$43:$U$43,0))</f>
        <v>14.6716693962317</v>
      </c>
      <c r="AW7" s="47">
        <f>INDEX(Direct_Cost_Splits_Network,MATCH($H7,RIN_Asset_Cat_Network,0),MATCH($AY$4,Direct_Cost_Type,0))*$M7*INDEX(Act_Type_Repex_Splits,MATCH($I7,Act_Type_Repex,0),MATCH(AW$4,Mat_Type,0))*INDEX(Escalators!$I$44:$U$49,MATCH(AW$4,Escalators!$C$44:$C$49,0),MATCH(AW$5,Escalators!$I$43:$U$43,0))</f>
        <v>0</v>
      </c>
      <c r="AX7" s="47">
        <f>INDEX(Direct_Cost_Splits_Network,MATCH($H7,RIN_Asset_Cat_Network,0),MATCH($AY$4,Direct_Cost_Type,0))*$M7*INDEX(Act_Type_Repex_Splits,MATCH($I7,Act_Type_Repex,0),MATCH(AX$4,Mat_Type,0))*INDEX(Escalators!$I$44:$U$49,MATCH(AX$4,Escalators!$C$44:$C$49,0),MATCH(AX$5,Escalators!$I$43:$U$43,0))</f>
        <v>58.686677584926798</v>
      </c>
      <c r="AY7" s="47">
        <f t="shared" ref="AY7:AY9" si="20">SUM(AT7:AX7)</f>
        <v>73.358346981158491</v>
      </c>
      <c r="AZ7" s="47">
        <f>INDEX(Direct_Cost_Splits_Network,MATCH($H7,RIN_Asset_Cat_Network,0),MATCH($BE$4,Direct_Cost_Type,0))*$N7*INDEX(Act_Type_Repex_Splits,MATCH($I7,Act_Type_Repex,0),MATCH(AZ$4,Mat_Type,0))*INDEX(Escalators!$I$44:$U$49,MATCH(AZ$4,Escalators!$C$44:$C$49,0),MATCH(AZ$5,Escalators!$I$43:$U$43,0))</f>
        <v>0</v>
      </c>
      <c r="BA7" s="47">
        <f>INDEX(Direct_Cost_Splits_Network,MATCH($H7,RIN_Asset_Cat_Network,0),MATCH($BE$4,Direct_Cost_Type,0))*$N7*INDEX(Act_Type_Repex_Splits,MATCH($I7,Act_Type_Repex,0),MATCH(BA$4,Mat_Type,0))*INDEX(Escalators!$I$44:$U$49,MATCH(BA$4,Escalators!$C$44:$C$49,0),MATCH(BA$5,Escalators!$I$43:$U$43,0))</f>
        <v>0</v>
      </c>
      <c r="BB7" s="47">
        <f>INDEX(Direct_Cost_Splits_Network,MATCH($H7,RIN_Asset_Cat_Network,0),MATCH($BE$4,Direct_Cost_Type,0))*$N7*INDEX(Act_Type_Repex_Splits,MATCH($I7,Act_Type_Repex,0),MATCH(BB$4,Mat_Type,0))*INDEX(Escalators!$I$44:$U$49,MATCH(BB$4,Escalators!$C$44:$C$49,0),MATCH(BB$5,Escalators!$I$43:$U$43,0))</f>
        <v>14.6716693962317</v>
      </c>
      <c r="BC7" s="47">
        <f>INDEX(Direct_Cost_Splits_Network,MATCH($H7,RIN_Asset_Cat_Network,0),MATCH($BE$4,Direct_Cost_Type,0))*$N7*INDEX(Act_Type_Repex_Splits,MATCH($I7,Act_Type_Repex,0),MATCH(BC$4,Mat_Type,0))*INDEX(Escalators!$I$44:$U$49,MATCH(BC$4,Escalators!$C$44:$C$49,0),MATCH(BC$5,Escalators!$I$43:$U$43,0))</f>
        <v>0</v>
      </c>
      <c r="BD7" s="47">
        <f>INDEX(Direct_Cost_Splits_Network,MATCH($H7,RIN_Asset_Cat_Network,0),MATCH($BE$4,Direct_Cost_Type,0))*$N7*INDEX(Act_Type_Repex_Splits,MATCH($I7,Act_Type_Repex,0),MATCH(BD$4,Mat_Type,0))*INDEX(Escalators!$I$44:$U$49,MATCH(BD$4,Escalators!$C$44:$C$49,0),MATCH(BD$5,Escalators!$I$43:$U$43,0))</f>
        <v>58.686677584926798</v>
      </c>
      <c r="BE7" s="47">
        <f t="shared" ref="BE7:BE9" si="21">SUM(AZ7:BD7)</f>
        <v>73.358346981158491</v>
      </c>
      <c r="BF7" s="47">
        <f>INDEX(Direct_Cost_Splits_Network,MATCH($H7,RIN_Asset_Cat_Network,0),MATCH($BK$4,Direct_Cost_Type,0))*$O7*INDEX(Act_Type_Repex_Splits,MATCH($I7,Act_Type_Repex,0),MATCH(BF$4,Mat_Type,0))*INDEX(Escalators!$I$44:$U$49,MATCH(BF$4,Escalators!$C$44:$C$49,0),MATCH(BF$5,Escalators!$I$43:$U$43,0))</f>
        <v>0</v>
      </c>
      <c r="BG7" s="47">
        <f>INDEX(Direct_Cost_Splits_Network,MATCH($H7,RIN_Asset_Cat_Network,0),MATCH($BK$4,Direct_Cost_Type,0))*$O7*INDEX(Act_Type_Repex_Splits,MATCH($I7,Act_Type_Repex,0),MATCH(BG$4,Mat_Type,0))*INDEX(Escalators!$I$44:$U$49,MATCH(BG$4,Escalators!$C$44:$C$49,0),MATCH(BG$5,Escalators!$I$43:$U$43,0))</f>
        <v>0</v>
      </c>
      <c r="BH7" s="47">
        <f>INDEX(Direct_Cost_Splits_Network,MATCH($H7,RIN_Asset_Cat_Network,0),MATCH($BK$4,Direct_Cost_Type,0))*$O7*INDEX(Act_Type_Repex_Splits,MATCH($I7,Act_Type_Repex,0),MATCH(BH$4,Mat_Type,0))*INDEX(Escalators!$I$44:$U$49,MATCH(BH$4,Escalators!$C$44:$C$49,0),MATCH(BH$5,Escalators!$I$43:$U$43,0))</f>
        <v>14.6716693962317</v>
      </c>
      <c r="BI7" s="47">
        <f>INDEX(Direct_Cost_Splits_Network,MATCH($H7,RIN_Asset_Cat_Network,0),MATCH($BK$4,Direct_Cost_Type,0))*$O7*INDEX(Act_Type_Repex_Splits,MATCH($I7,Act_Type_Repex,0),MATCH(BI$4,Mat_Type,0))*INDEX(Escalators!$I$44:$U$49,MATCH(BI$4,Escalators!$C$44:$C$49,0),MATCH(BI$5,Escalators!$I$43:$U$43,0))</f>
        <v>0</v>
      </c>
      <c r="BJ7" s="47">
        <f>INDEX(Direct_Cost_Splits_Network,MATCH($H7,RIN_Asset_Cat_Network,0),MATCH($BK$4,Direct_Cost_Type,0))*$O7*INDEX(Act_Type_Repex_Splits,MATCH($I7,Act_Type_Repex,0),MATCH(BJ$4,Mat_Type,0))*INDEX(Escalators!$I$44:$U$49,MATCH(BJ$4,Escalators!$C$44:$C$49,0),MATCH(BJ$5,Escalators!$I$43:$U$43,0))</f>
        <v>58.686677584926798</v>
      </c>
      <c r="BK7" s="47">
        <f t="shared" ref="BK7:BK9" si="22">SUM(BF7:BJ7)</f>
        <v>73.358346981158491</v>
      </c>
      <c r="BL7" s="47">
        <f>INDEX(Direct_Cost_Splits_Network,MATCH($H7,RIN_Asset_Cat_Network,0),MATCH($BQ$4,Direct_Cost_Type,0))*$P7*INDEX(Act_Type_Repex_Splits,MATCH($I7,Act_Type_Repex,0),MATCH(BL$4,Mat_Type,0))*INDEX(Escalators!$I$44:$U$49,MATCH(BL$4,Escalators!$C$44:$C$49,0),MATCH(BL$5,Escalators!$I$43:$U$43,0))</f>
        <v>0</v>
      </c>
      <c r="BM7" s="47">
        <f>INDEX(Direct_Cost_Splits_Network,MATCH($H7,RIN_Asset_Cat_Network,0),MATCH($BQ$4,Direct_Cost_Type,0))*$P7*INDEX(Act_Type_Repex_Splits,MATCH($I7,Act_Type_Repex,0),MATCH(BM$4,Mat_Type,0))*INDEX(Escalators!$I$44:$U$49,MATCH(BM$4,Escalators!$C$44:$C$49,0),MATCH(BM$5,Escalators!$I$43:$U$43,0))</f>
        <v>0</v>
      </c>
      <c r="BN7" s="47">
        <f>INDEX(Direct_Cost_Splits_Network,MATCH($H7,RIN_Asset_Cat_Network,0),MATCH($BQ$4,Direct_Cost_Type,0))*$P7*INDEX(Act_Type_Repex_Splits,MATCH($I7,Act_Type_Repex,0),MATCH(BN$4,Mat_Type,0))*INDEX(Escalators!$I$44:$U$49,MATCH(BN$4,Escalators!$C$44:$C$49,0),MATCH(BN$5,Escalators!$I$43:$U$43,0))</f>
        <v>14.6716693962317</v>
      </c>
      <c r="BO7" s="47">
        <f>INDEX(Direct_Cost_Splits_Network,MATCH($H7,RIN_Asset_Cat_Network,0),MATCH($BQ$4,Direct_Cost_Type,0))*$P7*INDEX(Act_Type_Repex_Splits,MATCH($I7,Act_Type_Repex,0),MATCH(BO$4,Mat_Type,0))*INDEX(Escalators!$I$44:$U$49,MATCH(BO$4,Escalators!$C$44:$C$49,0),MATCH(BO$5,Escalators!$I$43:$U$43,0))</f>
        <v>0</v>
      </c>
      <c r="BP7" s="47">
        <f>INDEX(Direct_Cost_Splits_Network,MATCH($H7,RIN_Asset_Cat_Network,0),MATCH($BQ$4,Direct_Cost_Type,0))*$P7*INDEX(Act_Type_Repex_Splits,MATCH($I7,Act_Type_Repex,0),MATCH(BP$4,Mat_Type,0))*INDEX(Escalators!$I$44:$U$49,MATCH(BP$4,Escalators!$C$44:$C$49,0),MATCH(BP$5,Escalators!$I$43:$U$43,0))</f>
        <v>58.686677584926798</v>
      </c>
      <c r="BQ7" s="47">
        <f t="shared" ref="BQ7:BQ9" si="23">SUM(BL7:BP7)</f>
        <v>73.358346981158491</v>
      </c>
      <c r="BR7" s="47">
        <f>INDEX(Direct_Cost_Splits_Network,MATCH($H7,RIN_Asset_Cat_Network,0),MATCH($BW$4,Direct_Cost_Type,0))*$Q7*INDEX(Act_Type_Repex_Splits,MATCH($I7,Act_Type_Repex,0),MATCH(BR$4,Mat_Type,0))*INDEX(Escalators!$I$44:$U$49,MATCH(BR$4,Escalators!$C$44:$C$49,0),MATCH(BR$5,Escalators!$I$43:$U$43,0))</f>
        <v>0</v>
      </c>
      <c r="BS7" s="47">
        <f>INDEX(Direct_Cost_Splits_Network,MATCH($H7,RIN_Asset_Cat_Network,0),MATCH($BW$4,Direct_Cost_Type,0))*$Q7*INDEX(Act_Type_Repex_Splits,MATCH($I7,Act_Type_Repex,0),MATCH(BS$4,Mat_Type,0))*INDEX(Escalators!$I$44:$U$49,MATCH(BS$4,Escalators!$C$44:$C$49,0),MATCH(BS$5,Escalators!$I$43:$U$43,0))</f>
        <v>0</v>
      </c>
      <c r="BT7" s="47">
        <f>INDEX(Direct_Cost_Splits_Network,MATCH($H7,RIN_Asset_Cat_Network,0),MATCH($BW$4,Direct_Cost_Type,0))*$Q7*INDEX(Act_Type_Repex_Splits,MATCH($I7,Act_Type_Repex,0),MATCH(BT$4,Mat_Type,0))*INDEX(Escalators!$I$44:$U$49,MATCH(BT$4,Escalators!$C$44:$C$49,0),MATCH(BT$5,Escalators!$I$43:$U$43,0))</f>
        <v>0</v>
      </c>
      <c r="BU7" s="47">
        <f>INDEX(Direct_Cost_Splits_Network,MATCH($H7,RIN_Asset_Cat_Network,0),MATCH($BW$4,Direct_Cost_Type,0))*$Q7*INDEX(Act_Type_Repex_Splits,MATCH($I7,Act_Type_Repex,0),MATCH(BU$4,Mat_Type,0))*INDEX(Escalators!$I$44:$U$49,MATCH(BU$4,Escalators!$C$44:$C$49,0),MATCH(BU$5,Escalators!$I$43:$U$43,0))</f>
        <v>0</v>
      </c>
      <c r="BV7" s="47">
        <f>INDEX(Direct_Cost_Splits_Network,MATCH($H7,RIN_Asset_Cat_Network,0),MATCH($BW$4,Direct_Cost_Type,0))*$Q7*INDEX(Act_Type_Repex_Splits,MATCH($I7,Act_Type_Repex,0),MATCH(BV$4,Mat_Type,0))*INDEX(Escalators!$I$44:$U$49,MATCH(BV$4,Escalators!$C$44:$C$49,0),MATCH(BV$5,Escalators!$I$43:$U$43,0))</f>
        <v>0</v>
      </c>
      <c r="BW7" s="47">
        <f t="shared" ref="BW7:BW9" si="24">SUM(BR7:BV7)</f>
        <v>0</v>
      </c>
      <c r="BY7" s="47">
        <f>INDEX(Direct_Cost_Splits_Network,MATCH($H7,RIN_Asset_Cat_Network,0),MATCH($BY$4,Direct_Cost_Type,0))*J7*HLOOKUP(BY$5,Escalators!$I$25:$U$30,6,FALSE)</f>
        <v>0</v>
      </c>
      <c r="BZ7" s="47">
        <f>INDEX(Direct_Cost_Splits_Network,MATCH($H7,RIN_Asset_Cat_Network,0),MATCH($BY$4,Direct_Cost_Type,0))*K7*HLOOKUP(BZ$5,Escalators!$I$25:$U$30,6,FALSE)</f>
        <v>0</v>
      </c>
      <c r="CA7" s="47">
        <f>INDEX(Direct_Cost_Splits_Network,MATCH($H7,RIN_Asset_Cat_Network,0),MATCH($BY$4,Direct_Cost_Type,0))*L7*HLOOKUP(CA$5,Escalators!$I$25:$U$30,6,FALSE)</f>
        <v>0</v>
      </c>
      <c r="CB7" s="47">
        <f>INDEX(Direct_Cost_Splits_Network,MATCH($H7,RIN_Asset_Cat_Network,0),MATCH($BY$4,Direct_Cost_Type,0))*M7*HLOOKUP(CB$5,Escalators!$I$25:$U$30,6,FALSE)</f>
        <v>203.00534987747221</v>
      </c>
      <c r="CC7" s="47">
        <f>INDEX(Direct_Cost_Splits_Network,MATCH($H7,RIN_Asset_Cat_Network,0),MATCH($BY$4,Direct_Cost_Type,0))*N7*HLOOKUP(CC$5,Escalators!$I$25:$U$30,6,FALSE)</f>
        <v>205.08821770521615</v>
      </c>
      <c r="CD7" s="47">
        <f>INDEX(Direct_Cost_Splits_Network,MATCH($H7,RIN_Asset_Cat_Network,0),MATCH($BY$4,Direct_Cost_Type,0))*O7*HLOOKUP(CD$5,Escalators!$I$25:$U$30,6,FALSE)</f>
        <v>207.2957636842188</v>
      </c>
      <c r="CE7" s="47">
        <f>INDEX(Direct_Cost_Splits_Network,MATCH($H7,RIN_Asset_Cat_Network,0),MATCH($BY$4,Direct_Cost_Type,0))*P7*HLOOKUP(CE$5,Escalators!$I$25:$U$30,6,FALSE)</f>
        <v>209.25579887079058</v>
      </c>
      <c r="CF7" s="47">
        <f>INDEX(Direct_Cost_Splits_Network,MATCH($H7,RIN_Asset_Cat_Network,0),MATCH($BY$4,Direct_Cost_Type,0))*Q7*HLOOKUP(CF$5,Escalators!$I$25:$U$30,6,FALSE)</f>
        <v>0</v>
      </c>
      <c r="CH7" s="83">
        <f t="shared" si="8"/>
        <v>0</v>
      </c>
      <c r="CI7" s="83">
        <f t="shared" si="8"/>
        <v>0</v>
      </c>
      <c r="CJ7" s="83">
        <f t="shared" si="8"/>
        <v>0</v>
      </c>
      <c r="CK7" s="83">
        <f t="shared" si="8"/>
        <v>30.412027456347776</v>
      </c>
      <c r="CL7" s="83">
        <f t="shared" si="8"/>
        <v>30.412027456347776</v>
      </c>
      <c r="CM7" s="83">
        <f t="shared" si="8"/>
        <v>30.412027456347776</v>
      </c>
      <c r="CN7" s="83">
        <f t="shared" si="8"/>
        <v>30.412027456347776</v>
      </c>
      <c r="CO7" s="83">
        <f t="shared" si="8"/>
        <v>0</v>
      </c>
      <c r="CQ7" s="47">
        <f t="shared" si="9"/>
        <v>0</v>
      </c>
      <c r="CR7" s="47">
        <f t="shared" si="10"/>
        <v>0</v>
      </c>
      <c r="CS7" s="47">
        <f t="shared" si="11"/>
        <v>0</v>
      </c>
      <c r="CT7" s="47">
        <f t="shared" si="12"/>
        <v>341.18789897902673</v>
      </c>
      <c r="CU7" s="47">
        <f t="shared" si="13"/>
        <v>343.62384130226405</v>
      </c>
      <c r="CV7" s="47">
        <f t="shared" si="14"/>
        <v>346.2055964233125</v>
      </c>
      <c r="CW7" s="47">
        <f t="shared" si="15"/>
        <v>348.49788429794739</v>
      </c>
      <c r="CX7" s="47">
        <f t="shared" si="16"/>
        <v>0</v>
      </c>
    </row>
    <row r="8" spans="2:102" x14ac:dyDescent="0.3">
      <c r="B8" s="7"/>
      <c r="C8" s="7" t="s">
        <v>441</v>
      </c>
      <c r="D8" s="7" t="s">
        <v>99</v>
      </c>
      <c r="E8" s="7" t="s">
        <v>48</v>
      </c>
      <c r="F8" s="7" t="s">
        <v>130</v>
      </c>
      <c r="G8" s="7" t="s">
        <v>150</v>
      </c>
      <c r="H8" s="7" t="s">
        <v>5</v>
      </c>
      <c r="I8" s="7" t="s">
        <v>204</v>
      </c>
      <c r="J8" s="45"/>
      <c r="K8" s="45"/>
      <c r="L8" s="45"/>
      <c r="M8" s="45">
        <v>115</v>
      </c>
      <c r="N8" s="45">
        <v>115</v>
      </c>
      <c r="O8" s="45">
        <v>115</v>
      </c>
      <c r="P8" s="45">
        <v>115</v>
      </c>
      <c r="Q8" s="45">
        <v>115</v>
      </c>
      <c r="S8" s="47">
        <f>INDEX(Direct_Cost_Splits_Network,MATCH($H8,RIN_Asset_Cat_Network,0),MATCH($S$4,Direct_Cost_Type,0))*J8*HLOOKUP(S$5,Escalators!$I$25:$U$30,3,FALSE)</f>
        <v>0</v>
      </c>
      <c r="T8" s="47">
        <f>INDEX(Direct_Cost_Splits_Network,MATCH($H8,RIN_Asset_Cat_Network,0),MATCH($S$4,Direct_Cost_Type,0))*K8*HLOOKUP(T$5,Escalators!$I$25:$U$30,3,FALSE)</f>
        <v>0</v>
      </c>
      <c r="U8" s="47">
        <f>INDEX(Direct_Cost_Splits_Network,MATCH($H8,RIN_Asset_Cat_Network,0),MATCH($S$4,Direct_Cost_Type,0))*L8*HLOOKUP(U$5,Escalators!$I$25:$U$30,3,FALSE)</f>
        <v>0</v>
      </c>
      <c r="V8" s="47">
        <f>INDEX(Direct_Cost_Splits_Network,MATCH($H8,RIN_Asset_Cat_Network,0),MATCH($S$4,Direct_Cost_Type,0))*M8*HLOOKUP(V$5,Escalators!$I$25:$U$30,3,FALSE)</f>
        <v>11.862710091023807</v>
      </c>
      <c r="W8" s="47">
        <f>INDEX(Direct_Cost_Splits_Network,MATCH($H8,RIN_Asset_Cat_Network,0),MATCH($S$4,Direct_Cost_Type,0))*N8*HLOOKUP(W$5,Escalators!$I$25:$U$30,3,FALSE)</f>
        <v>11.984423421304808</v>
      </c>
      <c r="X8" s="47">
        <f>INDEX(Direct_Cost_Splits_Network,MATCH($H8,RIN_Asset_Cat_Network,0),MATCH($S$4,Direct_Cost_Type,0))*O8*HLOOKUP(X$5,Escalators!$I$25:$U$30,3,FALSE)</f>
        <v>12.113422376146735</v>
      </c>
      <c r="Y8" s="47">
        <f>INDEX(Direct_Cost_Splits_Network,MATCH($H8,RIN_Asset_Cat_Network,0),MATCH($S$4,Direct_Cost_Type,0))*P8*HLOOKUP(Y$5,Escalators!$I$25:$U$30,3,FALSE)</f>
        <v>12.227957925089365</v>
      </c>
      <c r="Z8" s="47">
        <f>INDEX(Direct_Cost_Splits_Network,MATCH($H8,RIN_Asset_Cat_Network,0),MATCH($S$4,Direct_Cost_Type,0))*Q8*HLOOKUP(Z$5,Escalators!$I$25:$U$30,3,FALSE)</f>
        <v>12.33556395483015</v>
      </c>
      <c r="AB8" s="47">
        <f>INDEX(Direct_Cost_Splits_Network,MATCH($H8,RIN_Asset_Cat_Network,0),MATCH($AG$4,Direct_Cost_Type,0))*$J8*INDEX(Act_Type_Repex_Splits,MATCH($I8,Act_Type_Repex,0),MATCH(AB$4,Mat_Type,0))*INDEX(Escalators!$I$44:$Q$49,MATCH(AB$4,Escalators!$C$44:$C$49,0),MATCH(AB$5,Escalators!$I$43:$Q$43,0))</f>
        <v>0</v>
      </c>
      <c r="AC8" s="47">
        <f>INDEX(Direct_Cost_Splits_Network,MATCH($H8,RIN_Asset_Cat_Network,0),MATCH($AG$4,Direct_Cost_Type,0))*$J8*INDEX(Act_Type_Repex_Splits,MATCH($I8,Act_Type_Repex,0),MATCH(AC$4,Mat_Type,0))*INDEX(Escalators!$I$44:$Q$49,MATCH(AC$4,Escalators!$C$44:$C$49,0),MATCH(AC$5,Escalators!$I$43:$Q$43,0))</f>
        <v>0</v>
      </c>
      <c r="AD8" s="47">
        <f>INDEX(Direct_Cost_Splits_Network,MATCH($H8,RIN_Asset_Cat_Network,0),MATCH($AG$4,Direct_Cost_Type,0))*$J8*INDEX(Act_Type_Repex_Splits,MATCH($I8,Act_Type_Repex,0),MATCH(AD$4,Mat_Type,0))*INDEX(Escalators!$I$44:$Q$49,MATCH(AD$4,Escalators!$C$44:$C$49,0),MATCH(AD$5,Escalators!$I$43:$Q$43,0))</f>
        <v>0</v>
      </c>
      <c r="AE8" s="47">
        <f>INDEX(Direct_Cost_Splits_Network,MATCH($H8,RIN_Asset_Cat_Network,0),MATCH($AG$4,Direct_Cost_Type,0))*$J8*INDEX(Act_Type_Repex_Splits,MATCH($I8,Act_Type_Repex,0),MATCH(AE$4,Mat_Type,0))*INDEX(Escalators!$I$44:$Q$49,MATCH(AE$4,Escalators!$C$44:$C$49,0),MATCH(AE$5,Escalators!$I$43:$Q$43,0))</f>
        <v>0</v>
      </c>
      <c r="AF8" s="47">
        <f>INDEX(Direct_Cost_Splits_Network,MATCH($H8,RIN_Asset_Cat_Network,0),MATCH($AG$4,Direct_Cost_Type,0))*$J8*INDEX(Act_Type_Repex_Splits,MATCH($I8,Act_Type_Repex,0),MATCH(AF$4,Mat_Type,0))*INDEX(Escalators!$I$44:$Q$49,MATCH(AF$4,Escalators!$C$44:$C$49,0),MATCH(AF$5,Escalators!$I$43:$Q$43,0))</f>
        <v>0</v>
      </c>
      <c r="AG8" s="47">
        <f t="shared" si="17"/>
        <v>0</v>
      </c>
      <c r="AH8" s="47">
        <f>INDEX(Direct_Cost_Splits_Network,MATCH($H8,RIN_Asset_Cat_Network,0),MATCH($AY$4,Direct_Cost_Type,0))*$K8*INDEX(Act_Type_Repex_Splits,MATCH($I8,Act_Type_Repex,0),MATCH(AH$4,Mat_Type,0))*INDEX(Escalators!$I$44:$U$49,MATCH(AH$4,Escalators!$C$44:$C$49,0),MATCH(AH$5,Escalators!$I$43:$U$43,0))</f>
        <v>0</v>
      </c>
      <c r="AI8" s="47">
        <f>INDEX(Direct_Cost_Splits_Network,MATCH($H8,RIN_Asset_Cat_Network,0),MATCH($AY$4,Direct_Cost_Type,0))*$K8*INDEX(Act_Type_Repex_Splits,MATCH($I8,Act_Type_Repex,0),MATCH(AI$4,Mat_Type,0))*INDEX(Escalators!$I$44:$U$49,MATCH(AI$4,Escalators!$C$44:$C$49,0),MATCH(AI$5,Escalators!$I$43:$U$43,0))</f>
        <v>0</v>
      </c>
      <c r="AJ8" s="47">
        <f>INDEX(Direct_Cost_Splits_Network,MATCH($H8,RIN_Asset_Cat_Network,0),MATCH($AY$4,Direct_Cost_Type,0))*$K8*INDEX(Act_Type_Repex_Splits,MATCH($I8,Act_Type_Repex,0),MATCH(AJ$4,Mat_Type,0))*INDEX(Escalators!$I$44:$U$49,MATCH(AJ$4,Escalators!$C$44:$C$49,0),MATCH(AJ$5,Escalators!$I$43:$U$43,0))</f>
        <v>0</v>
      </c>
      <c r="AK8" s="47">
        <f>INDEX(Direct_Cost_Splits_Network,MATCH($H8,RIN_Asset_Cat_Network,0),MATCH($AY$4,Direct_Cost_Type,0))*$K8*INDEX(Act_Type_Repex_Splits,MATCH($I8,Act_Type_Repex,0),MATCH(AK$4,Mat_Type,0))*INDEX(Escalators!$I$44:$U$49,MATCH(AK$4,Escalators!$C$44:$C$49,0),MATCH(AK$5,Escalators!$I$43:$U$43,0))</f>
        <v>0</v>
      </c>
      <c r="AL8" s="47">
        <f>INDEX(Direct_Cost_Splits_Network,MATCH($H8,RIN_Asset_Cat_Network,0),MATCH($AY$4,Direct_Cost_Type,0))*$K8*INDEX(Act_Type_Repex_Splits,MATCH($I8,Act_Type_Repex,0),MATCH(AL$4,Mat_Type,0))*INDEX(Escalators!$I$44:$U$49,MATCH(AL$4,Escalators!$C$44:$C$49,0),MATCH(AL$5,Escalators!$I$43:$U$43,0))</f>
        <v>0</v>
      </c>
      <c r="AM8" s="47">
        <f t="shared" si="18"/>
        <v>0</v>
      </c>
      <c r="AN8" s="47">
        <f>INDEX(Direct_Cost_Splits_Network,MATCH($H8,RIN_Asset_Cat_Network,0),MATCH($AY$4,Direct_Cost_Type,0))*$L8*INDEX(Act_Type_Repex_Splits,MATCH($I8,Act_Type_Repex,0),MATCH(AN$4,Mat_Type,0))*INDEX(Escalators!$I$44:$U$49,MATCH(AN$4,Escalators!$C$44:$C$49,0),MATCH(AN$5,Escalators!$I$43:$U$43,0))</f>
        <v>0</v>
      </c>
      <c r="AO8" s="47">
        <f>INDEX(Direct_Cost_Splits_Network,MATCH($H8,RIN_Asset_Cat_Network,0),MATCH($AY$4,Direct_Cost_Type,0))*$L8*INDEX(Act_Type_Repex_Splits,MATCH($I8,Act_Type_Repex,0),MATCH(AO$4,Mat_Type,0))*INDEX(Escalators!$I$44:$U$49,MATCH(AO$4,Escalators!$C$44:$C$49,0),MATCH(AO$5,Escalators!$I$43:$U$43,0))</f>
        <v>0</v>
      </c>
      <c r="AP8" s="47">
        <f>INDEX(Direct_Cost_Splits_Network,MATCH($H8,RIN_Asset_Cat_Network,0),MATCH($AY$4,Direct_Cost_Type,0))*$L8*INDEX(Act_Type_Repex_Splits,MATCH($I8,Act_Type_Repex,0),MATCH(AP$4,Mat_Type,0))*INDEX(Escalators!$I$44:$U$49,MATCH(AP$4,Escalators!$C$44:$C$49,0),MATCH(AP$5,Escalators!$I$43:$U$43,0))</f>
        <v>0</v>
      </c>
      <c r="AQ8" s="47">
        <f>INDEX(Direct_Cost_Splits_Network,MATCH($H8,RIN_Asset_Cat_Network,0),MATCH($AY$4,Direct_Cost_Type,0))*$L8*INDEX(Act_Type_Repex_Splits,MATCH($I8,Act_Type_Repex,0),MATCH(AQ$4,Mat_Type,0))*INDEX(Escalators!$I$44:$U$49,MATCH(AQ$4,Escalators!$C$44:$C$49,0),MATCH(AQ$5,Escalators!$I$43:$U$43,0))</f>
        <v>0</v>
      </c>
      <c r="AR8" s="47">
        <f>INDEX(Direct_Cost_Splits_Network,MATCH($H8,RIN_Asset_Cat_Network,0),MATCH($AY$4,Direct_Cost_Type,0))*$L8*INDEX(Act_Type_Repex_Splits,MATCH($I8,Act_Type_Repex,0),MATCH(AR$4,Mat_Type,0))*INDEX(Escalators!$I$44:$U$49,MATCH(AR$4,Escalators!$C$44:$C$49,0),MATCH(AR$5,Escalators!$I$43:$U$43,0))</f>
        <v>0</v>
      </c>
      <c r="AS8" s="47">
        <f t="shared" si="19"/>
        <v>0</v>
      </c>
      <c r="AT8" s="47">
        <f>INDEX(Direct_Cost_Splits_Network,MATCH($H8,RIN_Asset_Cat_Network,0),MATCH($AY$4,Direct_Cost_Type,0))*$M8*INDEX(Act_Type_Repex_Splits,MATCH($I8,Act_Type_Repex,0),MATCH(AT$4,Mat_Type,0))*INDEX(Escalators!$I$44:$U$49,MATCH(AT$4,Escalators!$C$44:$C$49,0),MATCH(AT$5,Escalators!$I$43:$U$43,0))</f>
        <v>0</v>
      </c>
      <c r="AU8" s="47">
        <f>INDEX(Direct_Cost_Splits_Network,MATCH($H8,RIN_Asset_Cat_Network,0),MATCH($AY$4,Direct_Cost_Type,0))*$M8*INDEX(Act_Type_Repex_Splits,MATCH($I8,Act_Type_Repex,0),MATCH(AU$4,Mat_Type,0))*INDEX(Escalators!$I$44:$U$49,MATCH(AU$4,Escalators!$C$44:$C$49,0),MATCH(AU$5,Escalators!$I$43:$U$43,0))</f>
        <v>0</v>
      </c>
      <c r="AV8" s="47">
        <f>INDEX(Direct_Cost_Splits_Network,MATCH($H8,RIN_Asset_Cat_Network,0),MATCH($AY$4,Direct_Cost_Type,0))*$M8*INDEX(Act_Type_Repex_Splits,MATCH($I8,Act_Type_Repex,0),MATCH(AV$4,Mat_Type,0))*INDEX(Escalators!$I$44:$U$49,MATCH(AV$4,Escalators!$C$44:$C$49,0),MATCH(AV$5,Escalators!$I$43:$U$43,0))</f>
        <v>5.0576797978616463</v>
      </c>
      <c r="AW8" s="47">
        <f>INDEX(Direct_Cost_Splits_Network,MATCH($H8,RIN_Asset_Cat_Network,0),MATCH($AY$4,Direct_Cost_Type,0))*$M8*INDEX(Act_Type_Repex_Splits,MATCH($I8,Act_Type_Repex,0),MATCH(AW$4,Mat_Type,0))*INDEX(Escalators!$I$44:$U$49,MATCH(AW$4,Escalators!$C$44:$C$49,0),MATCH(AW$5,Escalators!$I$43:$U$43,0))</f>
        <v>0</v>
      </c>
      <c r="AX8" s="47">
        <f>INDEX(Direct_Cost_Splits_Network,MATCH($H8,RIN_Asset_Cat_Network,0),MATCH($AY$4,Direct_Cost_Type,0))*$M8*INDEX(Act_Type_Repex_Splits,MATCH($I8,Act_Type_Repex,0),MATCH(AX$4,Mat_Type,0))*INDEX(Escalators!$I$44:$U$49,MATCH(AX$4,Escalators!$C$44:$C$49,0),MATCH(AX$5,Escalators!$I$43:$U$43,0))</f>
        <v>20.230719191446585</v>
      </c>
      <c r="AY8" s="47">
        <f t="shared" si="20"/>
        <v>25.288398989308231</v>
      </c>
      <c r="AZ8" s="47">
        <f>INDEX(Direct_Cost_Splits_Network,MATCH($H8,RIN_Asset_Cat_Network,0),MATCH($BE$4,Direct_Cost_Type,0))*$N8*INDEX(Act_Type_Repex_Splits,MATCH($I8,Act_Type_Repex,0),MATCH(AZ$4,Mat_Type,0))*INDEX(Escalators!$I$44:$U$49,MATCH(AZ$4,Escalators!$C$44:$C$49,0),MATCH(AZ$5,Escalators!$I$43:$U$43,0))</f>
        <v>0</v>
      </c>
      <c r="BA8" s="47">
        <f>INDEX(Direct_Cost_Splits_Network,MATCH($H8,RIN_Asset_Cat_Network,0),MATCH($BE$4,Direct_Cost_Type,0))*$N8*INDEX(Act_Type_Repex_Splits,MATCH($I8,Act_Type_Repex,0),MATCH(BA$4,Mat_Type,0))*INDEX(Escalators!$I$44:$U$49,MATCH(BA$4,Escalators!$C$44:$C$49,0),MATCH(BA$5,Escalators!$I$43:$U$43,0))</f>
        <v>0</v>
      </c>
      <c r="BB8" s="47">
        <f>INDEX(Direct_Cost_Splits_Network,MATCH($H8,RIN_Asset_Cat_Network,0),MATCH($BE$4,Direct_Cost_Type,0))*$N8*INDEX(Act_Type_Repex_Splits,MATCH($I8,Act_Type_Repex,0),MATCH(BB$4,Mat_Type,0))*INDEX(Escalators!$I$44:$U$49,MATCH(BB$4,Escalators!$C$44:$C$49,0),MATCH(BB$5,Escalators!$I$43:$U$43,0))</f>
        <v>5.0576797978616463</v>
      </c>
      <c r="BC8" s="47">
        <f>INDEX(Direct_Cost_Splits_Network,MATCH($H8,RIN_Asset_Cat_Network,0),MATCH($BE$4,Direct_Cost_Type,0))*$N8*INDEX(Act_Type_Repex_Splits,MATCH($I8,Act_Type_Repex,0),MATCH(BC$4,Mat_Type,0))*INDEX(Escalators!$I$44:$U$49,MATCH(BC$4,Escalators!$C$44:$C$49,0),MATCH(BC$5,Escalators!$I$43:$U$43,0))</f>
        <v>0</v>
      </c>
      <c r="BD8" s="47">
        <f>INDEX(Direct_Cost_Splits_Network,MATCH($H8,RIN_Asset_Cat_Network,0),MATCH($BE$4,Direct_Cost_Type,0))*$N8*INDEX(Act_Type_Repex_Splits,MATCH($I8,Act_Type_Repex,0),MATCH(BD$4,Mat_Type,0))*INDEX(Escalators!$I$44:$U$49,MATCH(BD$4,Escalators!$C$44:$C$49,0),MATCH(BD$5,Escalators!$I$43:$U$43,0))</f>
        <v>20.230719191446585</v>
      </c>
      <c r="BE8" s="47">
        <f t="shared" si="21"/>
        <v>25.288398989308231</v>
      </c>
      <c r="BF8" s="47">
        <f>INDEX(Direct_Cost_Splits_Network,MATCH($H8,RIN_Asset_Cat_Network,0),MATCH($BK$4,Direct_Cost_Type,0))*$O8*INDEX(Act_Type_Repex_Splits,MATCH($I8,Act_Type_Repex,0),MATCH(BF$4,Mat_Type,0))*INDEX(Escalators!$I$44:$U$49,MATCH(BF$4,Escalators!$C$44:$C$49,0),MATCH(BF$5,Escalators!$I$43:$U$43,0))</f>
        <v>0</v>
      </c>
      <c r="BG8" s="47">
        <f>INDEX(Direct_Cost_Splits_Network,MATCH($H8,RIN_Asset_Cat_Network,0),MATCH($BK$4,Direct_Cost_Type,0))*$O8*INDEX(Act_Type_Repex_Splits,MATCH($I8,Act_Type_Repex,0),MATCH(BG$4,Mat_Type,0))*INDEX(Escalators!$I$44:$U$49,MATCH(BG$4,Escalators!$C$44:$C$49,0),MATCH(BG$5,Escalators!$I$43:$U$43,0))</f>
        <v>0</v>
      </c>
      <c r="BH8" s="47">
        <f>INDEX(Direct_Cost_Splits_Network,MATCH($H8,RIN_Asset_Cat_Network,0),MATCH($BK$4,Direct_Cost_Type,0))*$O8*INDEX(Act_Type_Repex_Splits,MATCH($I8,Act_Type_Repex,0),MATCH(BH$4,Mat_Type,0))*INDEX(Escalators!$I$44:$U$49,MATCH(BH$4,Escalators!$C$44:$C$49,0),MATCH(BH$5,Escalators!$I$43:$U$43,0))</f>
        <v>5.0576797978616463</v>
      </c>
      <c r="BI8" s="47">
        <f>INDEX(Direct_Cost_Splits_Network,MATCH($H8,RIN_Asset_Cat_Network,0),MATCH($BK$4,Direct_Cost_Type,0))*$O8*INDEX(Act_Type_Repex_Splits,MATCH($I8,Act_Type_Repex,0),MATCH(BI$4,Mat_Type,0))*INDEX(Escalators!$I$44:$U$49,MATCH(BI$4,Escalators!$C$44:$C$49,0),MATCH(BI$5,Escalators!$I$43:$U$43,0))</f>
        <v>0</v>
      </c>
      <c r="BJ8" s="47">
        <f>INDEX(Direct_Cost_Splits_Network,MATCH($H8,RIN_Asset_Cat_Network,0),MATCH($BK$4,Direct_Cost_Type,0))*$O8*INDEX(Act_Type_Repex_Splits,MATCH($I8,Act_Type_Repex,0),MATCH(BJ$4,Mat_Type,0))*INDEX(Escalators!$I$44:$U$49,MATCH(BJ$4,Escalators!$C$44:$C$49,0),MATCH(BJ$5,Escalators!$I$43:$U$43,0))</f>
        <v>20.230719191446585</v>
      </c>
      <c r="BK8" s="47">
        <f t="shared" si="22"/>
        <v>25.288398989308231</v>
      </c>
      <c r="BL8" s="47">
        <f>INDEX(Direct_Cost_Splits_Network,MATCH($H8,RIN_Asset_Cat_Network,0),MATCH($BQ$4,Direct_Cost_Type,0))*$P8*INDEX(Act_Type_Repex_Splits,MATCH($I8,Act_Type_Repex,0),MATCH(BL$4,Mat_Type,0))*INDEX(Escalators!$I$44:$U$49,MATCH(BL$4,Escalators!$C$44:$C$49,0),MATCH(BL$5,Escalators!$I$43:$U$43,0))</f>
        <v>0</v>
      </c>
      <c r="BM8" s="47">
        <f>INDEX(Direct_Cost_Splits_Network,MATCH($H8,RIN_Asset_Cat_Network,0),MATCH($BQ$4,Direct_Cost_Type,0))*$P8*INDEX(Act_Type_Repex_Splits,MATCH($I8,Act_Type_Repex,0),MATCH(BM$4,Mat_Type,0))*INDEX(Escalators!$I$44:$U$49,MATCH(BM$4,Escalators!$C$44:$C$49,0),MATCH(BM$5,Escalators!$I$43:$U$43,0))</f>
        <v>0</v>
      </c>
      <c r="BN8" s="47">
        <f>INDEX(Direct_Cost_Splits_Network,MATCH($H8,RIN_Asset_Cat_Network,0),MATCH($BQ$4,Direct_Cost_Type,0))*$P8*INDEX(Act_Type_Repex_Splits,MATCH($I8,Act_Type_Repex,0),MATCH(BN$4,Mat_Type,0))*INDEX(Escalators!$I$44:$U$49,MATCH(BN$4,Escalators!$C$44:$C$49,0),MATCH(BN$5,Escalators!$I$43:$U$43,0))</f>
        <v>5.0576797978616463</v>
      </c>
      <c r="BO8" s="47">
        <f>INDEX(Direct_Cost_Splits_Network,MATCH($H8,RIN_Asset_Cat_Network,0),MATCH($BQ$4,Direct_Cost_Type,0))*$P8*INDEX(Act_Type_Repex_Splits,MATCH($I8,Act_Type_Repex,0),MATCH(BO$4,Mat_Type,0))*INDEX(Escalators!$I$44:$U$49,MATCH(BO$4,Escalators!$C$44:$C$49,0),MATCH(BO$5,Escalators!$I$43:$U$43,0))</f>
        <v>0</v>
      </c>
      <c r="BP8" s="47">
        <f>INDEX(Direct_Cost_Splits_Network,MATCH($H8,RIN_Asset_Cat_Network,0),MATCH($BQ$4,Direct_Cost_Type,0))*$P8*INDEX(Act_Type_Repex_Splits,MATCH($I8,Act_Type_Repex,0),MATCH(BP$4,Mat_Type,0))*INDEX(Escalators!$I$44:$U$49,MATCH(BP$4,Escalators!$C$44:$C$49,0),MATCH(BP$5,Escalators!$I$43:$U$43,0))</f>
        <v>20.230719191446585</v>
      </c>
      <c r="BQ8" s="47">
        <f t="shared" si="23"/>
        <v>25.288398989308231</v>
      </c>
      <c r="BR8" s="47">
        <f>INDEX(Direct_Cost_Splits_Network,MATCH($H8,RIN_Asset_Cat_Network,0),MATCH($BW$4,Direct_Cost_Type,0))*$Q8*INDEX(Act_Type_Repex_Splits,MATCH($I8,Act_Type_Repex,0),MATCH(BR$4,Mat_Type,0))*INDEX(Escalators!$I$44:$U$49,MATCH(BR$4,Escalators!$C$44:$C$49,0),MATCH(BR$5,Escalators!$I$43:$U$43,0))</f>
        <v>0</v>
      </c>
      <c r="BS8" s="47">
        <f>INDEX(Direct_Cost_Splits_Network,MATCH($H8,RIN_Asset_Cat_Network,0),MATCH($BW$4,Direct_Cost_Type,0))*$Q8*INDEX(Act_Type_Repex_Splits,MATCH($I8,Act_Type_Repex,0),MATCH(BS$4,Mat_Type,0))*INDEX(Escalators!$I$44:$U$49,MATCH(BS$4,Escalators!$C$44:$C$49,0),MATCH(BS$5,Escalators!$I$43:$U$43,0))</f>
        <v>0</v>
      </c>
      <c r="BT8" s="47">
        <f>INDEX(Direct_Cost_Splits_Network,MATCH($H8,RIN_Asset_Cat_Network,0),MATCH($BW$4,Direct_Cost_Type,0))*$Q8*INDEX(Act_Type_Repex_Splits,MATCH($I8,Act_Type_Repex,0),MATCH(BT$4,Mat_Type,0))*INDEX(Escalators!$I$44:$U$49,MATCH(BT$4,Escalators!$C$44:$C$49,0),MATCH(BT$5,Escalators!$I$43:$U$43,0))</f>
        <v>5.0576797978616463</v>
      </c>
      <c r="BU8" s="47">
        <f>INDEX(Direct_Cost_Splits_Network,MATCH($H8,RIN_Asset_Cat_Network,0),MATCH($BW$4,Direct_Cost_Type,0))*$Q8*INDEX(Act_Type_Repex_Splits,MATCH($I8,Act_Type_Repex,0),MATCH(BU$4,Mat_Type,0))*INDEX(Escalators!$I$44:$U$49,MATCH(BU$4,Escalators!$C$44:$C$49,0),MATCH(BU$5,Escalators!$I$43:$U$43,0))</f>
        <v>0</v>
      </c>
      <c r="BV8" s="47">
        <f>INDEX(Direct_Cost_Splits_Network,MATCH($H8,RIN_Asset_Cat_Network,0),MATCH($BW$4,Direct_Cost_Type,0))*$Q8*INDEX(Act_Type_Repex_Splits,MATCH($I8,Act_Type_Repex,0),MATCH(BV$4,Mat_Type,0))*INDEX(Escalators!$I$44:$U$49,MATCH(BV$4,Escalators!$C$44:$C$49,0),MATCH(BV$5,Escalators!$I$43:$U$43,0))</f>
        <v>20.230719191446585</v>
      </c>
      <c r="BW8" s="47">
        <f t="shared" si="24"/>
        <v>25.288398989308231</v>
      </c>
      <c r="BY8" s="47">
        <f>INDEX(Direct_Cost_Splits_Network,MATCH($H8,RIN_Asset_Cat_Network,0),MATCH($BY$4,Direct_Cost_Type,0))*J8*HLOOKUP(BY$5,Escalators!$I$25:$U$30,6,FALSE)</f>
        <v>0</v>
      </c>
      <c r="BZ8" s="47">
        <f>INDEX(Direct_Cost_Splits_Network,MATCH($H8,RIN_Asset_Cat_Network,0),MATCH($BY$4,Direct_Cost_Type,0))*K8*HLOOKUP(BZ$5,Escalators!$I$25:$U$30,6,FALSE)</f>
        <v>0</v>
      </c>
      <c r="CA8" s="47">
        <f>INDEX(Direct_Cost_Splits_Network,MATCH($H8,RIN_Asset_Cat_Network,0),MATCH($BY$4,Direct_Cost_Type,0))*L8*HLOOKUP(CA$5,Escalators!$I$25:$U$30,6,FALSE)</f>
        <v>0</v>
      </c>
      <c r="CB8" s="47">
        <f>INDEX(Direct_Cost_Splits_Network,MATCH($H8,RIN_Asset_Cat_Network,0),MATCH($BY$4,Direct_Cost_Type,0))*M8*HLOOKUP(CB$5,Escalators!$I$25:$U$30,6,FALSE)</f>
        <v>69.980861018912776</v>
      </c>
      <c r="CC8" s="47">
        <f>INDEX(Direct_Cost_Splits_Network,MATCH($H8,RIN_Asset_Cat_Network,0),MATCH($BY$4,Direct_Cost_Type,0))*N8*HLOOKUP(CC$5,Escalators!$I$25:$U$30,6,FALSE)</f>
        <v>70.698876007493567</v>
      </c>
      <c r="CD8" s="47">
        <f>INDEX(Direct_Cost_Splits_Network,MATCH($H8,RIN_Asset_Cat_Network,0),MATCH($BY$4,Direct_Cost_Type,0))*O8*HLOOKUP(CD$5,Escalators!$I$25:$U$30,6,FALSE)</f>
        <v>71.459870574595797</v>
      </c>
      <c r="CE8" s="47">
        <f>INDEX(Direct_Cost_Splits_Network,MATCH($H8,RIN_Asset_Cat_Network,0),MATCH($BY$4,Direct_Cost_Type,0))*P8*HLOOKUP(CE$5,Escalators!$I$25:$U$30,6,FALSE)</f>
        <v>72.135542176681398</v>
      </c>
      <c r="CF8" s="47">
        <f>INDEX(Direct_Cost_Splits_Network,MATCH($H8,RIN_Asset_Cat_Network,0),MATCH($BY$4,Direct_Cost_Type,0))*Q8*HLOOKUP(CF$5,Escalators!$I$25:$U$30,6,FALSE)</f>
        <v>72.77033494783619</v>
      </c>
      <c r="CH8" s="83">
        <f t="shared" si="8"/>
        <v>0</v>
      </c>
      <c r="CI8" s="83">
        <f t="shared" si="8"/>
        <v>0</v>
      </c>
      <c r="CJ8" s="83">
        <f t="shared" si="8"/>
        <v>0</v>
      </c>
      <c r="CK8" s="83">
        <f t="shared" si="8"/>
        <v>10.483762462470006</v>
      </c>
      <c r="CL8" s="83">
        <f t="shared" si="8"/>
        <v>10.483762462470006</v>
      </c>
      <c r="CM8" s="83">
        <f t="shared" si="8"/>
        <v>10.483762462470006</v>
      </c>
      <c r="CN8" s="83">
        <f t="shared" si="8"/>
        <v>10.483762462470006</v>
      </c>
      <c r="CO8" s="83">
        <f t="shared" si="8"/>
        <v>10.483762462470006</v>
      </c>
      <c r="CQ8" s="47">
        <f t="shared" si="9"/>
        <v>0</v>
      </c>
      <c r="CR8" s="47">
        <f t="shared" si="10"/>
        <v>0</v>
      </c>
      <c r="CS8" s="47">
        <f t="shared" si="11"/>
        <v>0</v>
      </c>
      <c r="CT8" s="47">
        <f t="shared" si="12"/>
        <v>117.61573256171482</v>
      </c>
      <c r="CU8" s="47">
        <f t="shared" si="13"/>
        <v>118.45546088057661</v>
      </c>
      <c r="CV8" s="47">
        <f t="shared" si="14"/>
        <v>119.34545440252077</v>
      </c>
      <c r="CW8" s="47">
        <f t="shared" si="15"/>
        <v>120.13566155354901</v>
      </c>
      <c r="CX8" s="47">
        <f t="shared" si="16"/>
        <v>120.87806035444459</v>
      </c>
    </row>
    <row r="9" spans="2:102" x14ac:dyDescent="0.3">
      <c r="B9" s="7"/>
      <c r="C9" s="7" t="s">
        <v>477</v>
      </c>
      <c r="D9" s="7" t="s">
        <v>99</v>
      </c>
      <c r="E9" s="7" t="s">
        <v>48</v>
      </c>
      <c r="F9" s="7" t="s">
        <v>130</v>
      </c>
      <c r="G9" s="7" t="s">
        <v>150</v>
      </c>
      <c r="H9" s="7" t="s">
        <v>5</v>
      </c>
      <c r="I9" s="7" t="s">
        <v>204</v>
      </c>
      <c r="J9" s="45"/>
      <c r="K9" s="45"/>
      <c r="L9" s="45"/>
      <c r="M9" s="45">
        <v>0</v>
      </c>
      <c r="N9" s="45">
        <v>0</v>
      </c>
      <c r="O9" s="45">
        <v>0</v>
      </c>
      <c r="P9" s="45">
        <v>0</v>
      </c>
      <c r="Q9" s="45">
        <v>0</v>
      </c>
      <c r="S9" s="47">
        <f>INDEX(Direct_Cost_Splits_Network,MATCH($H9,RIN_Asset_Cat_Network,0),MATCH($S$4,Direct_Cost_Type,0))*J9*HLOOKUP(S$5,Escalators!$I$25:$U$30,3,FALSE)</f>
        <v>0</v>
      </c>
      <c r="T9" s="47">
        <f>INDEX(Direct_Cost_Splits_Network,MATCH($H9,RIN_Asset_Cat_Network,0),MATCH($S$4,Direct_Cost_Type,0))*K9*HLOOKUP(T$5,Escalators!$I$25:$U$30,3,FALSE)</f>
        <v>0</v>
      </c>
      <c r="U9" s="47">
        <f>INDEX(Direct_Cost_Splits_Network,MATCH($H9,RIN_Asset_Cat_Network,0),MATCH($S$4,Direct_Cost_Type,0))*L9*HLOOKUP(U$5,Escalators!$I$25:$U$30,3,FALSE)</f>
        <v>0</v>
      </c>
      <c r="V9" s="47">
        <f>INDEX(Direct_Cost_Splits_Network,MATCH($H9,RIN_Asset_Cat_Network,0),MATCH($S$4,Direct_Cost_Type,0))*M9*HLOOKUP(V$5,Escalators!$I$25:$U$30,3,FALSE)</f>
        <v>0</v>
      </c>
      <c r="W9" s="47">
        <f>INDEX(Direct_Cost_Splits_Network,MATCH($H9,RIN_Asset_Cat_Network,0),MATCH($S$4,Direct_Cost_Type,0))*N9*HLOOKUP(W$5,Escalators!$I$25:$U$30,3,FALSE)</f>
        <v>0</v>
      </c>
      <c r="X9" s="47">
        <f>INDEX(Direct_Cost_Splits_Network,MATCH($H9,RIN_Asset_Cat_Network,0),MATCH($S$4,Direct_Cost_Type,0))*O9*HLOOKUP(X$5,Escalators!$I$25:$U$30,3,FALSE)</f>
        <v>0</v>
      </c>
      <c r="Y9" s="47">
        <f>INDEX(Direct_Cost_Splits_Network,MATCH($H9,RIN_Asset_Cat_Network,0),MATCH($S$4,Direct_Cost_Type,0))*P9*HLOOKUP(Y$5,Escalators!$I$25:$U$30,3,FALSE)</f>
        <v>0</v>
      </c>
      <c r="Z9" s="47">
        <f>INDEX(Direct_Cost_Splits_Network,MATCH($H9,RIN_Asset_Cat_Network,0),MATCH($S$4,Direct_Cost_Type,0))*Q9*HLOOKUP(Z$5,Escalators!$I$25:$U$30,3,FALSE)</f>
        <v>0</v>
      </c>
      <c r="AB9" s="47">
        <f>INDEX(Direct_Cost_Splits_Network,MATCH($H9,RIN_Asset_Cat_Network,0),MATCH($AG$4,Direct_Cost_Type,0))*$J9*INDEX(Act_Type_Repex_Splits,MATCH($I9,Act_Type_Repex,0),MATCH(AB$4,Mat_Type,0))*INDEX(Escalators!$I$44:$Q$49,MATCH(AB$4,Escalators!$C$44:$C$49,0),MATCH(AB$5,Escalators!$I$43:$Q$43,0))</f>
        <v>0</v>
      </c>
      <c r="AC9" s="47">
        <f>INDEX(Direct_Cost_Splits_Network,MATCH($H9,RIN_Asset_Cat_Network,0),MATCH($AG$4,Direct_Cost_Type,0))*$J9*INDEX(Act_Type_Repex_Splits,MATCH($I9,Act_Type_Repex,0),MATCH(AC$4,Mat_Type,0))*INDEX(Escalators!$I$44:$Q$49,MATCH(AC$4,Escalators!$C$44:$C$49,0),MATCH(AC$5,Escalators!$I$43:$Q$43,0))</f>
        <v>0</v>
      </c>
      <c r="AD9" s="47">
        <f>INDEX(Direct_Cost_Splits_Network,MATCH($H9,RIN_Asset_Cat_Network,0),MATCH($AG$4,Direct_Cost_Type,0))*$J9*INDEX(Act_Type_Repex_Splits,MATCH($I9,Act_Type_Repex,0),MATCH(AD$4,Mat_Type,0))*INDEX(Escalators!$I$44:$Q$49,MATCH(AD$4,Escalators!$C$44:$C$49,0),MATCH(AD$5,Escalators!$I$43:$Q$43,0))</f>
        <v>0</v>
      </c>
      <c r="AE9" s="47">
        <f>INDEX(Direct_Cost_Splits_Network,MATCH($H9,RIN_Asset_Cat_Network,0),MATCH($AG$4,Direct_Cost_Type,0))*$J9*INDEX(Act_Type_Repex_Splits,MATCH($I9,Act_Type_Repex,0),MATCH(AE$4,Mat_Type,0))*INDEX(Escalators!$I$44:$Q$49,MATCH(AE$4,Escalators!$C$44:$C$49,0),MATCH(AE$5,Escalators!$I$43:$Q$43,0))</f>
        <v>0</v>
      </c>
      <c r="AF9" s="47">
        <f>INDEX(Direct_Cost_Splits_Network,MATCH($H9,RIN_Asset_Cat_Network,0),MATCH($AG$4,Direct_Cost_Type,0))*$J9*INDEX(Act_Type_Repex_Splits,MATCH($I9,Act_Type_Repex,0),MATCH(AF$4,Mat_Type,0))*INDEX(Escalators!$I$44:$Q$49,MATCH(AF$4,Escalators!$C$44:$C$49,0),MATCH(AF$5,Escalators!$I$43:$Q$43,0))</f>
        <v>0</v>
      </c>
      <c r="AG9" s="47">
        <f t="shared" si="17"/>
        <v>0</v>
      </c>
      <c r="AH9" s="47">
        <f>INDEX(Direct_Cost_Splits_Network,MATCH($H9,RIN_Asset_Cat_Network,0),MATCH($AY$4,Direct_Cost_Type,0))*$K9*INDEX(Act_Type_Repex_Splits,MATCH($I9,Act_Type_Repex,0),MATCH(AH$4,Mat_Type,0))*INDEX(Escalators!$I$44:$U$49,MATCH(AH$4,Escalators!$C$44:$C$49,0),MATCH(AH$5,Escalators!$I$43:$U$43,0))</f>
        <v>0</v>
      </c>
      <c r="AI9" s="47">
        <f>INDEX(Direct_Cost_Splits_Network,MATCH($H9,RIN_Asset_Cat_Network,0),MATCH($AY$4,Direct_Cost_Type,0))*$K9*INDEX(Act_Type_Repex_Splits,MATCH($I9,Act_Type_Repex,0),MATCH(AI$4,Mat_Type,0))*INDEX(Escalators!$I$44:$U$49,MATCH(AI$4,Escalators!$C$44:$C$49,0),MATCH(AI$5,Escalators!$I$43:$U$43,0))</f>
        <v>0</v>
      </c>
      <c r="AJ9" s="47">
        <f>INDEX(Direct_Cost_Splits_Network,MATCH($H9,RIN_Asset_Cat_Network,0),MATCH($AY$4,Direct_Cost_Type,0))*$K9*INDEX(Act_Type_Repex_Splits,MATCH($I9,Act_Type_Repex,0),MATCH(AJ$4,Mat_Type,0))*INDEX(Escalators!$I$44:$U$49,MATCH(AJ$4,Escalators!$C$44:$C$49,0),MATCH(AJ$5,Escalators!$I$43:$U$43,0))</f>
        <v>0</v>
      </c>
      <c r="AK9" s="47">
        <f>INDEX(Direct_Cost_Splits_Network,MATCH($H9,RIN_Asset_Cat_Network,0),MATCH($AY$4,Direct_Cost_Type,0))*$K9*INDEX(Act_Type_Repex_Splits,MATCH($I9,Act_Type_Repex,0),MATCH(AK$4,Mat_Type,0))*INDEX(Escalators!$I$44:$U$49,MATCH(AK$4,Escalators!$C$44:$C$49,0),MATCH(AK$5,Escalators!$I$43:$U$43,0))</f>
        <v>0</v>
      </c>
      <c r="AL9" s="47">
        <f>INDEX(Direct_Cost_Splits_Network,MATCH($H9,RIN_Asset_Cat_Network,0),MATCH($AY$4,Direct_Cost_Type,0))*$K9*INDEX(Act_Type_Repex_Splits,MATCH($I9,Act_Type_Repex,0),MATCH(AL$4,Mat_Type,0))*INDEX(Escalators!$I$44:$U$49,MATCH(AL$4,Escalators!$C$44:$C$49,0),MATCH(AL$5,Escalators!$I$43:$U$43,0))</f>
        <v>0</v>
      </c>
      <c r="AM9" s="47">
        <f t="shared" si="18"/>
        <v>0</v>
      </c>
      <c r="AN9" s="47">
        <f>INDEX(Direct_Cost_Splits_Network,MATCH($H9,RIN_Asset_Cat_Network,0),MATCH($AY$4,Direct_Cost_Type,0))*$L9*INDEX(Act_Type_Repex_Splits,MATCH($I9,Act_Type_Repex,0),MATCH(AN$4,Mat_Type,0))*INDEX(Escalators!$I$44:$U$49,MATCH(AN$4,Escalators!$C$44:$C$49,0),MATCH(AN$5,Escalators!$I$43:$U$43,0))</f>
        <v>0</v>
      </c>
      <c r="AO9" s="47">
        <f>INDEX(Direct_Cost_Splits_Network,MATCH($H9,RIN_Asset_Cat_Network,0),MATCH($AY$4,Direct_Cost_Type,0))*$L9*INDEX(Act_Type_Repex_Splits,MATCH($I9,Act_Type_Repex,0),MATCH(AO$4,Mat_Type,0))*INDEX(Escalators!$I$44:$U$49,MATCH(AO$4,Escalators!$C$44:$C$49,0),MATCH(AO$5,Escalators!$I$43:$U$43,0))</f>
        <v>0</v>
      </c>
      <c r="AP9" s="47">
        <f>INDEX(Direct_Cost_Splits_Network,MATCH($H9,RIN_Asset_Cat_Network,0),MATCH($AY$4,Direct_Cost_Type,0))*$L9*INDEX(Act_Type_Repex_Splits,MATCH($I9,Act_Type_Repex,0),MATCH(AP$4,Mat_Type,0))*INDEX(Escalators!$I$44:$U$49,MATCH(AP$4,Escalators!$C$44:$C$49,0),MATCH(AP$5,Escalators!$I$43:$U$43,0))</f>
        <v>0</v>
      </c>
      <c r="AQ9" s="47">
        <f>INDEX(Direct_Cost_Splits_Network,MATCH($H9,RIN_Asset_Cat_Network,0),MATCH($AY$4,Direct_Cost_Type,0))*$L9*INDEX(Act_Type_Repex_Splits,MATCH($I9,Act_Type_Repex,0),MATCH(AQ$4,Mat_Type,0))*INDEX(Escalators!$I$44:$U$49,MATCH(AQ$4,Escalators!$C$44:$C$49,0),MATCH(AQ$5,Escalators!$I$43:$U$43,0))</f>
        <v>0</v>
      </c>
      <c r="AR9" s="47">
        <f>INDEX(Direct_Cost_Splits_Network,MATCH($H9,RIN_Asset_Cat_Network,0),MATCH($AY$4,Direct_Cost_Type,0))*$L9*INDEX(Act_Type_Repex_Splits,MATCH($I9,Act_Type_Repex,0),MATCH(AR$4,Mat_Type,0))*INDEX(Escalators!$I$44:$U$49,MATCH(AR$4,Escalators!$C$44:$C$49,0),MATCH(AR$5,Escalators!$I$43:$U$43,0))</f>
        <v>0</v>
      </c>
      <c r="AS9" s="47">
        <f t="shared" si="19"/>
        <v>0</v>
      </c>
      <c r="AT9" s="47">
        <f>INDEX(Direct_Cost_Splits_Network,MATCH($H9,RIN_Asset_Cat_Network,0),MATCH($AY$4,Direct_Cost_Type,0))*$M9*INDEX(Act_Type_Repex_Splits,MATCH($I9,Act_Type_Repex,0),MATCH(AT$4,Mat_Type,0))*INDEX(Escalators!$I$44:$U$49,MATCH(AT$4,Escalators!$C$44:$C$49,0),MATCH(AT$5,Escalators!$I$43:$U$43,0))</f>
        <v>0</v>
      </c>
      <c r="AU9" s="47">
        <f>INDEX(Direct_Cost_Splits_Network,MATCH($H9,RIN_Asset_Cat_Network,0),MATCH($AY$4,Direct_Cost_Type,0))*$M9*INDEX(Act_Type_Repex_Splits,MATCH($I9,Act_Type_Repex,0),MATCH(AU$4,Mat_Type,0))*INDEX(Escalators!$I$44:$U$49,MATCH(AU$4,Escalators!$C$44:$C$49,0),MATCH(AU$5,Escalators!$I$43:$U$43,0))</f>
        <v>0</v>
      </c>
      <c r="AV9" s="47">
        <f>INDEX(Direct_Cost_Splits_Network,MATCH($H9,RIN_Asset_Cat_Network,0),MATCH($AY$4,Direct_Cost_Type,0))*$M9*INDEX(Act_Type_Repex_Splits,MATCH($I9,Act_Type_Repex,0),MATCH(AV$4,Mat_Type,0))*INDEX(Escalators!$I$44:$U$49,MATCH(AV$4,Escalators!$C$44:$C$49,0),MATCH(AV$5,Escalators!$I$43:$U$43,0))</f>
        <v>0</v>
      </c>
      <c r="AW9" s="47">
        <f>INDEX(Direct_Cost_Splits_Network,MATCH($H9,RIN_Asset_Cat_Network,0),MATCH($AY$4,Direct_Cost_Type,0))*$M9*INDEX(Act_Type_Repex_Splits,MATCH($I9,Act_Type_Repex,0),MATCH(AW$4,Mat_Type,0))*INDEX(Escalators!$I$44:$U$49,MATCH(AW$4,Escalators!$C$44:$C$49,0),MATCH(AW$5,Escalators!$I$43:$U$43,0))</f>
        <v>0</v>
      </c>
      <c r="AX9" s="47">
        <f>INDEX(Direct_Cost_Splits_Network,MATCH($H9,RIN_Asset_Cat_Network,0),MATCH($AY$4,Direct_Cost_Type,0))*$M9*INDEX(Act_Type_Repex_Splits,MATCH($I9,Act_Type_Repex,0),MATCH(AX$4,Mat_Type,0))*INDEX(Escalators!$I$44:$U$49,MATCH(AX$4,Escalators!$C$44:$C$49,0),MATCH(AX$5,Escalators!$I$43:$U$43,0))</f>
        <v>0</v>
      </c>
      <c r="AY9" s="47">
        <f t="shared" si="20"/>
        <v>0</v>
      </c>
      <c r="AZ9" s="47">
        <f>INDEX(Direct_Cost_Splits_Network,MATCH($H9,RIN_Asset_Cat_Network,0),MATCH($BE$4,Direct_Cost_Type,0))*$N9*INDEX(Act_Type_Repex_Splits,MATCH($I9,Act_Type_Repex,0),MATCH(AZ$4,Mat_Type,0))*INDEX(Escalators!$I$44:$U$49,MATCH(AZ$4,Escalators!$C$44:$C$49,0),MATCH(AZ$5,Escalators!$I$43:$U$43,0))</f>
        <v>0</v>
      </c>
      <c r="BA9" s="47">
        <f>INDEX(Direct_Cost_Splits_Network,MATCH($H9,RIN_Asset_Cat_Network,0),MATCH($BE$4,Direct_Cost_Type,0))*$N9*INDEX(Act_Type_Repex_Splits,MATCH($I9,Act_Type_Repex,0),MATCH(BA$4,Mat_Type,0))*INDEX(Escalators!$I$44:$U$49,MATCH(BA$4,Escalators!$C$44:$C$49,0),MATCH(BA$5,Escalators!$I$43:$U$43,0))</f>
        <v>0</v>
      </c>
      <c r="BB9" s="47">
        <f>INDEX(Direct_Cost_Splits_Network,MATCH($H9,RIN_Asset_Cat_Network,0),MATCH($BE$4,Direct_Cost_Type,0))*$N9*INDEX(Act_Type_Repex_Splits,MATCH($I9,Act_Type_Repex,0),MATCH(BB$4,Mat_Type,0))*INDEX(Escalators!$I$44:$U$49,MATCH(BB$4,Escalators!$C$44:$C$49,0),MATCH(BB$5,Escalators!$I$43:$U$43,0))</f>
        <v>0</v>
      </c>
      <c r="BC9" s="47">
        <f>INDEX(Direct_Cost_Splits_Network,MATCH($H9,RIN_Asset_Cat_Network,0),MATCH($BE$4,Direct_Cost_Type,0))*$N9*INDEX(Act_Type_Repex_Splits,MATCH($I9,Act_Type_Repex,0),MATCH(BC$4,Mat_Type,0))*INDEX(Escalators!$I$44:$U$49,MATCH(BC$4,Escalators!$C$44:$C$49,0),MATCH(BC$5,Escalators!$I$43:$U$43,0))</f>
        <v>0</v>
      </c>
      <c r="BD9" s="47">
        <f>INDEX(Direct_Cost_Splits_Network,MATCH($H9,RIN_Asset_Cat_Network,0),MATCH($BE$4,Direct_Cost_Type,0))*$N9*INDEX(Act_Type_Repex_Splits,MATCH($I9,Act_Type_Repex,0),MATCH(BD$4,Mat_Type,0))*INDEX(Escalators!$I$44:$U$49,MATCH(BD$4,Escalators!$C$44:$C$49,0),MATCH(BD$5,Escalators!$I$43:$U$43,0))</f>
        <v>0</v>
      </c>
      <c r="BE9" s="47">
        <f t="shared" si="21"/>
        <v>0</v>
      </c>
      <c r="BF9" s="47">
        <f>INDEX(Direct_Cost_Splits_Network,MATCH($H9,RIN_Asset_Cat_Network,0),MATCH($BK$4,Direct_Cost_Type,0))*$O9*INDEX(Act_Type_Repex_Splits,MATCH($I9,Act_Type_Repex,0),MATCH(BF$4,Mat_Type,0))*INDEX(Escalators!$I$44:$U$49,MATCH(BF$4,Escalators!$C$44:$C$49,0),MATCH(BF$5,Escalators!$I$43:$U$43,0))</f>
        <v>0</v>
      </c>
      <c r="BG9" s="47">
        <f>INDEX(Direct_Cost_Splits_Network,MATCH($H9,RIN_Asset_Cat_Network,0),MATCH($BK$4,Direct_Cost_Type,0))*$O9*INDEX(Act_Type_Repex_Splits,MATCH($I9,Act_Type_Repex,0),MATCH(BG$4,Mat_Type,0))*INDEX(Escalators!$I$44:$U$49,MATCH(BG$4,Escalators!$C$44:$C$49,0),MATCH(BG$5,Escalators!$I$43:$U$43,0))</f>
        <v>0</v>
      </c>
      <c r="BH9" s="47">
        <f>INDEX(Direct_Cost_Splits_Network,MATCH($H9,RIN_Asset_Cat_Network,0),MATCH($BK$4,Direct_Cost_Type,0))*$O9*INDEX(Act_Type_Repex_Splits,MATCH($I9,Act_Type_Repex,0),MATCH(BH$4,Mat_Type,0))*INDEX(Escalators!$I$44:$U$49,MATCH(BH$4,Escalators!$C$44:$C$49,0),MATCH(BH$5,Escalators!$I$43:$U$43,0))</f>
        <v>0</v>
      </c>
      <c r="BI9" s="47">
        <f>INDEX(Direct_Cost_Splits_Network,MATCH($H9,RIN_Asset_Cat_Network,0),MATCH($BK$4,Direct_Cost_Type,0))*$O9*INDEX(Act_Type_Repex_Splits,MATCH($I9,Act_Type_Repex,0),MATCH(BI$4,Mat_Type,0))*INDEX(Escalators!$I$44:$U$49,MATCH(BI$4,Escalators!$C$44:$C$49,0),MATCH(BI$5,Escalators!$I$43:$U$43,0))</f>
        <v>0</v>
      </c>
      <c r="BJ9" s="47">
        <f>INDEX(Direct_Cost_Splits_Network,MATCH($H9,RIN_Asset_Cat_Network,0),MATCH($BK$4,Direct_Cost_Type,0))*$O9*INDEX(Act_Type_Repex_Splits,MATCH($I9,Act_Type_Repex,0),MATCH(BJ$4,Mat_Type,0))*INDEX(Escalators!$I$44:$U$49,MATCH(BJ$4,Escalators!$C$44:$C$49,0),MATCH(BJ$5,Escalators!$I$43:$U$43,0))</f>
        <v>0</v>
      </c>
      <c r="BK9" s="47">
        <f t="shared" si="22"/>
        <v>0</v>
      </c>
      <c r="BL9" s="47">
        <f>INDEX(Direct_Cost_Splits_Network,MATCH($H9,RIN_Asset_Cat_Network,0),MATCH($BQ$4,Direct_Cost_Type,0))*$P9*INDEX(Act_Type_Repex_Splits,MATCH($I9,Act_Type_Repex,0),MATCH(BL$4,Mat_Type,0))*INDEX(Escalators!$I$44:$U$49,MATCH(BL$4,Escalators!$C$44:$C$49,0),MATCH(BL$5,Escalators!$I$43:$U$43,0))</f>
        <v>0</v>
      </c>
      <c r="BM9" s="47">
        <f>INDEX(Direct_Cost_Splits_Network,MATCH($H9,RIN_Asset_Cat_Network,0),MATCH($BQ$4,Direct_Cost_Type,0))*$P9*INDEX(Act_Type_Repex_Splits,MATCH($I9,Act_Type_Repex,0),MATCH(BM$4,Mat_Type,0))*INDEX(Escalators!$I$44:$U$49,MATCH(BM$4,Escalators!$C$44:$C$49,0),MATCH(BM$5,Escalators!$I$43:$U$43,0))</f>
        <v>0</v>
      </c>
      <c r="BN9" s="47">
        <f>INDEX(Direct_Cost_Splits_Network,MATCH($H9,RIN_Asset_Cat_Network,0),MATCH($BQ$4,Direct_Cost_Type,0))*$P9*INDEX(Act_Type_Repex_Splits,MATCH($I9,Act_Type_Repex,0),MATCH(BN$4,Mat_Type,0))*INDEX(Escalators!$I$44:$U$49,MATCH(BN$4,Escalators!$C$44:$C$49,0),MATCH(BN$5,Escalators!$I$43:$U$43,0))</f>
        <v>0</v>
      </c>
      <c r="BO9" s="47">
        <f>INDEX(Direct_Cost_Splits_Network,MATCH($H9,RIN_Asset_Cat_Network,0),MATCH($BQ$4,Direct_Cost_Type,0))*$P9*INDEX(Act_Type_Repex_Splits,MATCH($I9,Act_Type_Repex,0),MATCH(BO$4,Mat_Type,0))*INDEX(Escalators!$I$44:$U$49,MATCH(BO$4,Escalators!$C$44:$C$49,0),MATCH(BO$5,Escalators!$I$43:$U$43,0))</f>
        <v>0</v>
      </c>
      <c r="BP9" s="47">
        <f>INDEX(Direct_Cost_Splits_Network,MATCH($H9,RIN_Asset_Cat_Network,0),MATCH($BQ$4,Direct_Cost_Type,0))*$P9*INDEX(Act_Type_Repex_Splits,MATCH($I9,Act_Type_Repex,0),MATCH(BP$4,Mat_Type,0))*INDEX(Escalators!$I$44:$U$49,MATCH(BP$4,Escalators!$C$44:$C$49,0),MATCH(BP$5,Escalators!$I$43:$U$43,0))</f>
        <v>0</v>
      </c>
      <c r="BQ9" s="47">
        <f t="shared" si="23"/>
        <v>0</v>
      </c>
      <c r="BR9" s="47">
        <f>INDEX(Direct_Cost_Splits_Network,MATCH($H9,RIN_Asset_Cat_Network,0),MATCH($BW$4,Direct_Cost_Type,0))*$Q9*INDEX(Act_Type_Repex_Splits,MATCH($I9,Act_Type_Repex,0),MATCH(BR$4,Mat_Type,0))*INDEX(Escalators!$I$44:$U$49,MATCH(BR$4,Escalators!$C$44:$C$49,0),MATCH(BR$5,Escalators!$I$43:$U$43,0))</f>
        <v>0</v>
      </c>
      <c r="BS9" s="47">
        <f>INDEX(Direct_Cost_Splits_Network,MATCH($H9,RIN_Asset_Cat_Network,0),MATCH($BW$4,Direct_Cost_Type,0))*$Q9*INDEX(Act_Type_Repex_Splits,MATCH($I9,Act_Type_Repex,0),MATCH(BS$4,Mat_Type,0))*INDEX(Escalators!$I$44:$U$49,MATCH(BS$4,Escalators!$C$44:$C$49,0),MATCH(BS$5,Escalators!$I$43:$U$43,0))</f>
        <v>0</v>
      </c>
      <c r="BT9" s="47">
        <f>INDEX(Direct_Cost_Splits_Network,MATCH($H9,RIN_Asset_Cat_Network,0),MATCH($BW$4,Direct_Cost_Type,0))*$Q9*INDEX(Act_Type_Repex_Splits,MATCH($I9,Act_Type_Repex,0),MATCH(BT$4,Mat_Type,0))*INDEX(Escalators!$I$44:$U$49,MATCH(BT$4,Escalators!$C$44:$C$49,0),MATCH(BT$5,Escalators!$I$43:$U$43,0))</f>
        <v>0</v>
      </c>
      <c r="BU9" s="47">
        <f>INDEX(Direct_Cost_Splits_Network,MATCH($H9,RIN_Asset_Cat_Network,0),MATCH($BW$4,Direct_Cost_Type,0))*$Q9*INDEX(Act_Type_Repex_Splits,MATCH($I9,Act_Type_Repex,0),MATCH(BU$4,Mat_Type,0))*INDEX(Escalators!$I$44:$U$49,MATCH(BU$4,Escalators!$C$44:$C$49,0),MATCH(BU$5,Escalators!$I$43:$U$43,0))</f>
        <v>0</v>
      </c>
      <c r="BV9" s="47">
        <f>INDEX(Direct_Cost_Splits_Network,MATCH($H9,RIN_Asset_Cat_Network,0),MATCH($BW$4,Direct_Cost_Type,0))*$Q9*INDEX(Act_Type_Repex_Splits,MATCH($I9,Act_Type_Repex,0),MATCH(BV$4,Mat_Type,0))*INDEX(Escalators!$I$44:$U$49,MATCH(BV$4,Escalators!$C$44:$C$49,0),MATCH(BV$5,Escalators!$I$43:$U$43,0))</f>
        <v>0</v>
      </c>
      <c r="BW9" s="47">
        <f t="shared" si="24"/>
        <v>0</v>
      </c>
      <c r="BY9" s="47">
        <f>INDEX(Direct_Cost_Splits_Network,MATCH($H9,RIN_Asset_Cat_Network,0),MATCH($BY$4,Direct_Cost_Type,0))*J9*HLOOKUP(BY$5,Escalators!$I$25:$U$30,6,FALSE)</f>
        <v>0</v>
      </c>
      <c r="BZ9" s="47">
        <f>INDEX(Direct_Cost_Splits_Network,MATCH($H9,RIN_Asset_Cat_Network,0),MATCH($BY$4,Direct_Cost_Type,0))*K9*HLOOKUP(BZ$5,Escalators!$I$25:$U$30,6,FALSE)</f>
        <v>0</v>
      </c>
      <c r="CA9" s="47">
        <f>INDEX(Direct_Cost_Splits_Network,MATCH($H9,RIN_Asset_Cat_Network,0),MATCH($BY$4,Direct_Cost_Type,0))*L9*HLOOKUP(CA$5,Escalators!$I$25:$U$30,6,FALSE)</f>
        <v>0</v>
      </c>
      <c r="CB9" s="47">
        <f>INDEX(Direct_Cost_Splits_Network,MATCH($H9,RIN_Asset_Cat_Network,0),MATCH($BY$4,Direct_Cost_Type,0))*M9*HLOOKUP(CB$5,Escalators!$I$25:$U$30,6,FALSE)</f>
        <v>0</v>
      </c>
      <c r="CC9" s="47">
        <f>INDEX(Direct_Cost_Splits_Network,MATCH($H9,RIN_Asset_Cat_Network,0),MATCH($BY$4,Direct_Cost_Type,0))*N9*HLOOKUP(CC$5,Escalators!$I$25:$U$30,6,FALSE)</f>
        <v>0</v>
      </c>
      <c r="CD9" s="47">
        <f>INDEX(Direct_Cost_Splits_Network,MATCH($H9,RIN_Asset_Cat_Network,0),MATCH($BY$4,Direct_Cost_Type,0))*O9*HLOOKUP(CD$5,Escalators!$I$25:$U$30,6,FALSE)</f>
        <v>0</v>
      </c>
      <c r="CE9" s="47">
        <f>INDEX(Direct_Cost_Splits_Network,MATCH($H9,RIN_Asset_Cat_Network,0),MATCH($BY$4,Direct_Cost_Type,0))*P9*HLOOKUP(CE$5,Escalators!$I$25:$U$30,6,FALSE)</f>
        <v>0</v>
      </c>
      <c r="CF9" s="47">
        <f>INDEX(Direct_Cost_Splits_Network,MATCH($H9,RIN_Asset_Cat_Network,0),MATCH($BY$4,Direct_Cost_Type,0))*Q9*HLOOKUP(CF$5,Escalators!$I$25:$U$30,6,FALSE)</f>
        <v>0</v>
      </c>
      <c r="CH9" s="83">
        <f t="shared" si="8"/>
        <v>0</v>
      </c>
      <c r="CI9" s="83">
        <f t="shared" si="8"/>
        <v>0</v>
      </c>
      <c r="CJ9" s="83">
        <f t="shared" si="8"/>
        <v>0</v>
      </c>
      <c r="CK9" s="83">
        <f t="shared" si="8"/>
        <v>0</v>
      </c>
      <c r="CL9" s="83">
        <f t="shared" si="8"/>
        <v>0</v>
      </c>
      <c r="CM9" s="83">
        <f t="shared" si="8"/>
        <v>0</v>
      </c>
      <c r="CN9" s="83">
        <f t="shared" si="8"/>
        <v>0</v>
      </c>
      <c r="CO9" s="83">
        <f t="shared" si="8"/>
        <v>0</v>
      </c>
      <c r="CQ9" s="47">
        <f t="shared" si="9"/>
        <v>0</v>
      </c>
      <c r="CR9" s="47">
        <f t="shared" si="10"/>
        <v>0</v>
      </c>
      <c r="CS9" s="47">
        <f t="shared" si="11"/>
        <v>0</v>
      </c>
      <c r="CT9" s="47">
        <f t="shared" si="12"/>
        <v>0</v>
      </c>
      <c r="CU9" s="47">
        <f t="shared" si="13"/>
        <v>0</v>
      </c>
      <c r="CV9" s="47">
        <f t="shared" si="14"/>
        <v>0</v>
      </c>
      <c r="CW9" s="47">
        <f t="shared" si="15"/>
        <v>0</v>
      </c>
      <c r="CX9" s="47">
        <f t="shared" si="16"/>
        <v>0</v>
      </c>
    </row>
    <row r="10" spans="2:102" x14ac:dyDescent="0.3">
      <c r="B10" s="7"/>
      <c r="C10" s="7" t="s">
        <v>97</v>
      </c>
      <c r="D10" s="7" t="s">
        <v>99</v>
      </c>
      <c r="E10" s="7" t="s">
        <v>48</v>
      </c>
      <c r="F10" s="7" t="s">
        <v>130</v>
      </c>
      <c r="G10" s="7" t="s">
        <v>150</v>
      </c>
      <c r="H10" s="7" t="s">
        <v>5</v>
      </c>
      <c r="I10" s="7" t="s">
        <v>204</v>
      </c>
      <c r="J10" s="45"/>
      <c r="K10" s="45"/>
      <c r="L10" s="45"/>
      <c r="M10" s="573"/>
      <c r="N10" s="573"/>
      <c r="O10" s="573"/>
      <c r="P10" s="573"/>
      <c r="Q10" s="573"/>
      <c r="R10" s="537"/>
      <c r="S10" s="573"/>
      <c r="T10" s="573"/>
      <c r="U10" s="573"/>
      <c r="V10" s="573"/>
      <c r="W10" s="573"/>
      <c r="X10" s="573"/>
      <c r="Y10" s="573"/>
      <c r="Z10" s="573"/>
      <c r="AA10" s="537"/>
      <c r="AB10" s="573"/>
      <c r="AC10" s="573"/>
      <c r="AD10" s="573"/>
      <c r="AE10" s="573"/>
      <c r="AF10" s="573"/>
      <c r="AG10" s="573"/>
      <c r="AH10" s="573"/>
      <c r="AI10" s="573"/>
      <c r="AJ10" s="573"/>
      <c r="AK10" s="573"/>
      <c r="AL10" s="573"/>
      <c r="AM10" s="573"/>
      <c r="AN10" s="573"/>
      <c r="AO10" s="573"/>
      <c r="AP10" s="573"/>
      <c r="AQ10" s="573"/>
      <c r="AR10" s="573"/>
      <c r="AS10" s="573"/>
      <c r="AT10" s="573"/>
      <c r="AU10" s="573"/>
      <c r="AV10" s="573"/>
      <c r="AW10" s="573"/>
      <c r="AX10" s="573"/>
      <c r="AY10" s="573"/>
      <c r="AZ10" s="573"/>
      <c r="BA10" s="573"/>
      <c r="BB10" s="573"/>
      <c r="BC10" s="573"/>
      <c r="BD10" s="573"/>
      <c r="BE10" s="573"/>
      <c r="BF10" s="573"/>
      <c r="BG10" s="573"/>
      <c r="BH10" s="573"/>
      <c r="BI10" s="573"/>
      <c r="BJ10" s="573"/>
      <c r="BK10" s="573"/>
      <c r="BL10" s="573"/>
      <c r="BM10" s="573"/>
      <c r="BN10" s="573"/>
      <c r="BO10" s="573"/>
      <c r="BP10" s="573"/>
      <c r="BQ10" s="573"/>
      <c r="BR10" s="573"/>
      <c r="BS10" s="573"/>
      <c r="BT10" s="573"/>
      <c r="BU10" s="573"/>
      <c r="BV10" s="573"/>
      <c r="BW10" s="573"/>
      <c r="BX10" s="537"/>
      <c r="BY10" s="573"/>
      <c r="BZ10" s="573"/>
      <c r="CA10" s="573"/>
      <c r="CB10" s="573"/>
      <c r="CC10" s="573"/>
      <c r="CD10" s="573"/>
      <c r="CE10" s="573"/>
      <c r="CF10" s="573"/>
      <c r="CG10" s="537"/>
      <c r="CH10" s="574"/>
      <c r="CI10" s="574"/>
      <c r="CJ10" s="574"/>
      <c r="CK10" s="574"/>
      <c r="CL10" s="574"/>
      <c r="CM10" s="574"/>
      <c r="CN10" s="574"/>
      <c r="CO10" s="574"/>
      <c r="CP10" s="537"/>
      <c r="CQ10" s="573"/>
      <c r="CR10" s="573"/>
      <c r="CS10" s="573"/>
      <c r="CT10" s="573"/>
      <c r="CU10" s="573"/>
      <c r="CV10" s="573"/>
      <c r="CW10" s="573"/>
      <c r="CX10" s="573"/>
    </row>
    <row r="11" spans="2:102" x14ac:dyDescent="0.3">
      <c r="B11" s="7"/>
      <c r="C11" s="7" t="s">
        <v>478</v>
      </c>
      <c r="D11" s="7" t="s">
        <v>99</v>
      </c>
      <c r="E11" s="7" t="s">
        <v>48</v>
      </c>
      <c r="F11" s="7" t="s">
        <v>130</v>
      </c>
      <c r="G11" s="7" t="s">
        <v>150</v>
      </c>
      <c r="H11" s="7" t="s">
        <v>5</v>
      </c>
      <c r="I11" s="7" t="s">
        <v>204</v>
      </c>
      <c r="J11" s="45"/>
      <c r="K11" s="45"/>
      <c r="L11" s="45"/>
      <c r="M11" s="45">
        <v>1110.1199999999999</v>
      </c>
      <c r="N11" s="45">
        <v>1110.1199999999999</v>
      </c>
      <c r="O11" s="45">
        <v>1110.1199999999999</v>
      </c>
      <c r="P11" s="45">
        <v>1110.1199999999999</v>
      </c>
      <c r="Q11" s="45">
        <v>0</v>
      </c>
      <c r="S11" s="47">
        <f>INDEX(Direct_Cost_Splits_Network,MATCH($H11,RIN_Asset_Cat_Network,0),MATCH($S$4,Direct_Cost_Type,0))*J11*HLOOKUP(S$5,Escalators!$I$25:$U$30,3,FALSE)</f>
        <v>0</v>
      </c>
      <c r="T11" s="47">
        <f>INDEX(Direct_Cost_Splits_Network,MATCH($H11,RIN_Asset_Cat_Network,0),MATCH($S$4,Direct_Cost_Type,0))*K11*HLOOKUP(T$5,Escalators!$I$25:$U$30,3,FALSE)</f>
        <v>0</v>
      </c>
      <c r="U11" s="47">
        <f>INDEX(Direct_Cost_Splits_Network,MATCH($H11,RIN_Asset_Cat_Network,0),MATCH($S$4,Direct_Cost_Type,0))*L11*HLOOKUP(U$5,Escalators!$I$25:$U$30,3,FALSE)</f>
        <v>0</v>
      </c>
      <c r="V11" s="47">
        <f>INDEX(Direct_Cost_Splits_Network,MATCH($H11,RIN_Asset_Cat_Network,0),MATCH($S$4,Direct_Cost_Type,0))*M11*HLOOKUP(V$5,Escalators!$I$25:$U$30,3,FALSE)</f>
        <v>114.51331935867258</v>
      </c>
      <c r="W11" s="47">
        <f>INDEX(Direct_Cost_Splits_Network,MATCH($H11,RIN_Asset_Cat_Network,0),MATCH($S$4,Direct_Cost_Type,0))*N11*HLOOKUP(W$5,Escalators!$I$25:$U$30,3,FALSE)</f>
        <v>115.68824459529471</v>
      </c>
      <c r="X11" s="47">
        <f>INDEX(Direct_Cost_Splits_Network,MATCH($H11,RIN_Asset_Cat_Network,0),MATCH($S$4,Direct_Cost_Type,0))*O11*HLOOKUP(X$5,Escalators!$I$25:$U$30,3,FALSE)</f>
        <v>116.93349954963487</v>
      </c>
      <c r="Y11" s="47">
        <f>INDEX(Direct_Cost_Splits_Network,MATCH($H11,RIN_Asset_Cat_Network,0),MATCH($S$4,Direct_Cost_Type,0))*P11*HLOOKUP(Y$5,Escalators!$I$25:$U$30,3,FALSE)</f>
        <v>118.03913610261046</v>
      </c>
      <c r="Z11" s="47">
        <f>INDEX(Direct_Cost_Splits_Network,MATCH($H11,RIN_Asset_Cat_Network,0),MATCH($S$4,Direct_Cost_Type,0))*Q11*HLOOKUP(Z$5,Escalators!$I$25:$U$30,3,FALSE)</f>
        <v>0</v>
      </c>
      <c r="AB11" s="47">
        <f>INDEX(Direct_Cost_Splits_Network,MATCH($H11,RIN_Asset_Cat_Network,0),MATCH($AG$4,Direct_Cost_Type,0))*$J11*INDEX(Act_Type_Repex_Splits,MATCH($I11,Act_Type_Repex,0),MATCH(AB$4,Mat_Type,0))*INDEX(Escalators!$I$44:$Q$49,MATCH(AB$4,Escalators!$C$44:$C$49,0),MATCH(AB$5,Escalators!$I$43:$Q$43,0))</f>
        <v>0</v>
      </c>
      <c r="AC11" s="47">
        <f>INDEX(Direct_Cost_Splits_Network,MATCH($H11,RIN_Asset_Cat_Network,0),MATCH($AG$4,Direct_Cost_Type,0))*$J11*INDEX(Act_Type_Repex_Splits,MATCH($I11,Act_Type_Repex,0),MATCH(AC$4,Mat_Type,0))*INDEX(Escalators!$I$44:$Q$49,MATCH(AC$4,Escalators!$C$44:$C$49,0),MATCH(AC$5,Escalators!$I$43:$Q$43,0))</f>
        <v>0</v>
      </c>
      <c r="AD11" s="47">
        <f>INDEX(Direct_Cost_Splits_Network,MATCH($H11,RIN_Asset_Cat_Network,0),MATCH($AG$4,Direct_Cost_Type,0))*$J11*INDEX(Act_Type_Repex_Splits,MATCH($I11,Act_Type_Repex,0),MATCH(AD$4,Mat_Type,0))*INDEX(Escalators!$I$44:$Q$49,MATCH(AD$4,Escalators!$C$44:$C$49,0),MATCH(AD$5,Escalators!$I$43:$Q$43,0))</f>
        <v>0</v>
      </c>
      <c r="AE11" s="47">
        <f>INDEX(Direct_Cost_Splits_Network,MATCH($H11,RIN_Asset_Cat_Network,0),MATCH($AG$4,Direct_Cost_Type,0))*$J11*INDEX(Act_Type_Repex_Splits,MATCH($I11,Act_Type_Repex,0),MATCH(AE$4,Mat_Type,0))*INDEX(Escalators!$I$44:$Q$49,MATCH(AE$4,Escalators!$C$44:$C$49,0),MATCH(AE$5,Escalators!$I$43:$Q$43,0))</f>
        <v>0</v>
      </c>
      <c r="AF11" s="47">
        <f>INDEX(Direct_Cost_Splits_Network,MATCH($H11,RIN_Asset_Cat_Network,0),MATCH($AG$4,Direct_Cost_Type,0))*$J11*INDEX(Act_Type_Repex_Splits,MATCH($I11,Act_Type_Repex,0),MATCH(AF$4,Mat_Type,0))*INDEX(Escalators!$I$44:$Q$49,MATCH(AF$4,Escalators!$C$44:$C$49,0),MATCH(AF$5,Escalators!$I$43:$Q$43,0))</f>
        <v>0</v>
      </c>
      <c r="AG11" s="47">
        <f t="shared" ref="AG11:AG15" si="25">SUM(AB11:AF11)</f>
        <v>0</v>
      </c>
      <c r="AH11" s="47">
        <f>INDEX(Direct_Cost_Splits_Network,MATCH($H11,RIN_Asset_Cat_Network,0),MATCH($AY$4,Direct_Cost_Type,0))*$K11*INDEX(Act_Type_Repex_Splits,MATCH($I11,Act_Type_Repex,0),MATCH(AH$4,Mat_Type,0))*INDEX(Escalators!$I$44:$U$49,MATCH(AH$4,Escalators!$C$44:$C$49,0),MATCH(AH$5,Escalators!$I$43:$U$43,0))</f>
        <v>0</v>
      </c>
      <c r="AI11" s="47">
        <f>INDEX(Direct_Cost_Splits_Network,MATCH($H11,RIN_Asset_Cat_Network,0),MATCH($AY$4,Direct_Cost_Type,0))*$K11*INDEX(Act_Type_Repex_Splits,MATCH($I11,Act_Type_Repex,0),MATCH(AI$4,Mat_Type,0))*INDEX(Escalators!$I$44:$U$49,MATCH(AI$4,Escalators!$C$44:$C$49,0),MATCH(AI$5,Escalators!$I$43:$U$43,0))</f>
        <v>0</v>
      </c>
      <c r="AJ11" s="47">
        <f>INDEX(Direct_Cost_Splits_Network,MATCH($H11,RIN_Asset_Cat_Network,0),MATCH($AY$4,Direct_Cost_Type,0))*$K11*INDEX(Act_Type_Repex_Splits,MATCH($I11,Act_Type_Repex,0),MATCH(AJ$4,Mat_Type,0))*INDEX(Escalators!$I$44:$U$49,MATCH(AJ$4,Escalators!$C$44:$C$49,0),MATCH(AJ$5,Escalators!$I$43:$U$43,0))</f>
        <v>0</v>
      </c>
      <c r="AK11" s="47">
        <f>INDEX(Direct_Cost_Splits_Network,MATCH($H11,RIN_Asset_Cat_Network,0),MATCH($AY$4,Direct_Cost_Type,0))*$K11*INDEX(Act_Type_Repex_Splits,MATCH($I11,Act_Type_Repex,0),MATCH(AK$4,Mat_Type,0))*INDEX(Escalators!$I$44:$U$49,MATCH(AK$4,Escalators!$C$44:$C$49,0),MATCH(AK$5,Escalators!$I$43:$U$43,0))</f>
        <v>0</v>
      </c>
      <c r="AL11" s="47">
        <f>INDEX(Direct_Cost_Splits_Network,MATCH($H11,RIN_Asset_Cat_Network,0),MATCH($AY$4,Direct_Cost_Type,0))*$K11*INDEX(Act_Type_Repex_Splits,MATCH($I11,Act_Type_Repex,0),MATCH(AL$4,Mat_Type,0))*INDEX(Escalators!$I$44:$U$49,MATCH(AL$4,Escalators!$C$44:$C$49,0),MATCH(AL$5,Escalators!$I$43:$U$43,0))</f>
        <v>0</v>
      </c>
      <c r="AM11" s="47">
        <f t="shared" ref="AM11:AM15" si="26">SUM(AH11:AL11)</f>
        <v>0</v>
      </c>
      <c r="AN11" s="47">
        <f>INDEX(Direct_Cost_Splits_Network,MATCH($H11,RIN_Asset_Cat_Network,0),MATCH($AY$4,Direct_Cost_Type,0))*$L11*INDEX(Act_Type_Repex_Splits,MATCH($I11,Act_Type_Repex,0),MATCH(AN$4,Mat_Type,0))*INDEX(Escalators!$I$44:$U$49,MATCH(AN$4,Escalators!$C$44:$C$49,0),MATCH(AN$5,Escalators!$I$43:$U$43,0))</f>
        <v>0</v>
      </c>
      <c r="AO11" s="47">
        <f>INDEX(Direct_Cost_Splits_Network,MATCH($H11,RIN_Asset_Cat_Network,0),MATCH($AY$4,Direct_Cost_Type,0))*$L11*INDEX(Act_Type_Repex_Splits,MATCH($I11,Act_Type_Repex,0),MATCH(AO$4,Mat_Type,0))*INDEX(Escalators!$I$44:$U$49,MATCH(AO$4,Escalators!$C$44:$C$49,0),MATCH(AO$5,Escalators!$I$43:$U$43,0))</f>
        <v>0</v>
      </c>
      <c r="AP11" s="47">
        <f>INDEX(Direct_Cost_Splits_Network,MATCH($H11,RIN_Asset_Cat_Network,0),MATCH($AY$4,Direct_Cost_Type,0))*$L11*INDEX(Act_Type_Repex_Splits,MATCH($I11,Act_Type_Repex,0),MATCH(AP$4,Mat_Type,0))*INDEX(Escalators!$I$44:$U$49,MATCH(AP$4,Escalators!$C$44:$C$49,0),MATCH(AP$5,Escalators!$I$43:$U$43,0))</f>
        <v>0</v>
      </c>
      <c r="AQ11" s="47">
        <f>INDEX(Direct_Cost_Splits_Network,MATCH($H11,RIN_Asset_Cat_Network,0),MATCH($AY$4,Direct_Cost_Type,0))*$L11*INDEX(Act_Type_Repex_Splits,MATCH($I11,Act_Type_Repex,0),MATCH(AQ$4,Mat_Type,0))*INDEX(Escalators!$I$44:$U$49,MATCH(AQ$4,Escalators!$C$44:$C$49,0),MATCH(AQ$5,Escalators!$I$43:$U$43,0))</f>
        <v>0</v>
      </c>
      <c r="AR11" s="47">
        <f>INDEX(Direct_Cost_Splits_Network,MATCH($H11,RIN_Asset_Cat_Network,0),MATCH($AY$4,Direct_Cost_Type,0))*$L11*INDEX(Act_Type_Repex_Splits,MATCH($I11,Act_Type_Repex,0),MATCH(AR$4,Mat_Type,0))*INDEX(Escalators!$I$44:$U$49,MATCH(AR$4,Escalators!$C$44:$C$49,0),MATCH(AR$5,Escalators!$I$43:$U$43,0))</f>
        <v>0</v>
      </c>
      <c r="AS11" s="47">
        <f t="shared" ref="AS11:AS15" si="27">SUM(AN11:AR11)</f>
        <v>0</v>
      </c>
      <c r="AT11" s="47">
        <f>INDEX(Direct_Cost_Splits_Network,MATCH($H11,RIN_Asset_Cat_Network,0),MATCH($AY$4,Direct_Cost_Type,0))*$M11*INDEX(Act_Type_Repex_Splits,MATCH($I11,Act_Type_Repex,0),MATCH(AT$4,Mat_Type,0))*INDEX(Escalators!$I$44:$U$49,MATCH(AT$4,Escalators!$C$44:$C$49,0),MATCH(AT$5,Escalators!$I$43:$U$43,0))</f>
        <v>0</v>
      </c>
      <c r="AU11" s="47">
        <f>INDEX(Direct_Cost_Splits_Network,MATCH($H11,RIN_Asset_Cat_Network,0),MATCH($AY$4,Direct_Cost_Type,0))*$M11*INDEX(Act_Type_Repex_Splits,MATCH($I11,Act_Type_Repex,0),MATCH(AU$4,Mat_Type,0))*INDEX(Escalators!$I$44:$U$49,MATCH(AU$4,Escalators!$C$44:$C$49,0),MATCH(AU$5,Escalators!$I$43:$U$43,0))</f>
        <v>0</v>
      </c>
      <c r="AV11" s="47">
        <f>INDEX(Direct_Cost_Splits_Network,MATCH($H11,RIN_Asset_Cat_Network,0),MATCH($AY$4,Direct_Cost_Type,0))*$M11*INDEX(Act_Type_Repex_Splits,MATCH($I11,Act_Type_Repex,0),MATCH(AV$4,Mat_Type,0))*INDEX(Escalators!$I$44:$U$49,MATCH(AV$4,Escalators!$C$44:$C$49,0),MATCH(AV$5,Escalators!$I$43:$U$43,0))</f>
        <v>48.822882584366695</v>
      </c>
      <c r="AW11" s="47">
        <f>INDEX(Direct_Cost_Splits_Network,MATCH($H11,RIN_Asset_Cat_Network,0),MATCH($AY$4,Direct_Cost_Type,0))*$M11*INDEX(Act_Type_Repex_Splits,MATCH($I11,Act_Type_Repex,0),MATCH(AW$4,Mat_Type,0))*INDEX(Escalators!$I$44:$U$49,MATCH(AW$4,Escalators!$C$44:$C$49,0),MATCH(AW$5,Escalators!$I$43:$U$43,0))</f>
        <v>0</v>
      </c>
      <c r="AX11" s="47">
        <f>INDEX(Direct_Cost_Splits_Network,MATCH($H11,RIN_Asset_Cat_Network,0),MATCH($AY$4,Direct_Cost_Type,0))*$M11*INDEX(Act_Type_Repex_Splits,MATCH($I11,Act_Type_Repex,0),MATCH(AX$4,Mat_Type,0))*INDEX(Escalators!$I$44:$U$49,MATCH(AX$4,Escalators!$C$44:$C$49,0),MATCH(AX$5,Escalators!$I$43:$U$43,0))</f>
        <v>195.29153033746678</v>
      </c>
      <c r="AY11" s="47">
        <f t="shared" ref="AY11:AY15" si="28">SUM(AT11:AX11)</f>
        <v>244.11441292183349</v>
      </c>
      <c r="AZ11" s="47">
        <f>INDEX(Direct_Cost_Splits_Network,MATCH($H11,RIN_Asset_Cat_Network,0),MATCH($BE$4,Direct_Cost_Type,0))*$N11*INDEX(Act_Type_Repex_Splits,MATCH($I11,Act_Type_Repex,0),MATCH(AZ$4,Mat_Type,0))*INDEX(Escalators!$I$44:$U$49,MATCH(AZ$4,Escalators!$C$44:$C$49,0),MATCH(AZ$5,Escalators!$I$43:$U$43,0))</f>
        <v>0</v>
      </c>
      <c r="BA11" s="47">
        <f>INDEX(Direct_Cost_Splits_Network,MATCH($H11,RIN_Asset_Cat_Network,0),MATCH($BE$4,Direct_Cost_Type,0))*$N11*INDEX(Act_Type_Repex_Splits,MATCH($I11,Act_Type_Repex,0),MATCH(BA$4,Mat_Type,0))*INDEX(Escalators!$I$44:$U$49,MATCH(BA$4,Escalators!$C$44:$C$49,0),MATCH(BA$5,Escalators!$I$43:$U$43,0))</f>
        <v>0</v>
      </c>
      <c r="BB11" s="47">
        <f>INDEX(Direct_Cost_Splits_Network,MATCH($H11,RIN_Asset_Cat_Network,0),MATCH($BE$4,Direct_Cost_Type,0))*$N11*INDEX(Act_Type_Repex_Splits,MATCH($I11,Act_Type_Repex,0),MATCH(BB$4,Mat_Type,0))*INDEX(Escalators!$I$44:$U$49,MATCH(BB$4,Escalators!$C$44:$C$49,0),MATCH(BB$5,Escalators!$I$43:$U$43,0))</f>
        <v>48.822882584366695</v>
      </c>
      <c r="BC11" s="47">
        <f>INDEX(Direct_Cost_Splits_Network,MATCH($H11,RIN_Asset_Cat_Network,0),MATCH($BE$4,Direct_Cost_Type,0))*$N11*INDEX(Act_Type_Repex_Splits,MATCH($I11,Act_Type_Repex,0),MATCH(BC$4,Mat_Type,0))*INDEX(Escalators!$I$44:$U$49,MATCH(BC$4,Escalators!$C$44:$C$49,0),MATCH(BC$5,Escalators!$I$43:$U$43,0))</f>
        <v>0</v>
      </c>
      <c r="BD11" s="47">
        <f>INDEX(Direct_Cost_Splits_Network,MATCH($H11,RIN_Asset_Cat_Network,0),MATCH($BE$4,Direct_Cost_Type,0))*$N11*INDEX(Act_Type_Repex_Splits,MATCH($I11,Act_Type_Repex,0),MATCH(BD$4,Mat_Type,0))*INDEX(Escalators!$I$44:$U$49,MATCH(BD$4,Escalators!$C$44:$C$49,0),MATCH(BD$5,Escalators!$I$43:$U$43,0))</f>
        <v>195.29153033746678</v>
      </c>
      <c r="BE11" s="47">
        <f t="shared" ref="BE11:BE15" si="29">SUM(AZ11:BD11)</f>
        <v>244.11441292183349</v>
      </c>
      <c r="BF11" s="47">
        <f>INDEX(Direct_Cost_Splits_Network,MATCH($H11,RIN_Asset_Cat_Network,0),MATCH($BK$4,Direct_Cost_Type,0))*$O11*INDEX(Act_Type_Repex_Splits,MATCH($I11,Act_Type_Repex,0),MATCH(BF$4,Mat_Type,0))*INDEX(Escalators!$I$44:$U$49,MATCH(BF$4,Escalators!$C$44:$C$49,0),MATCH(BF$5,Escalators!$I$43:$U$43,0))</f>
        <v>0</v>
      </c>
      <c r="BG11" s="47">
        <f>INDEX(Direct_Cost_Splits_Network,MATCH($H11,RIN_Asset_Cat_Network,0),MATCH($BK$4,Direct_Cost_Type,0))*$O11*INDEX(Act_Type_Repex_Splits,MATCH($I11,Act_Type_Repex,0),MATCH(BG$4,Mat_Type,0))*INDEX(Escalators!$I$44:$U$49,MATCH(BG$4,Escalators!$C$44:$C$49,0),MATCH(BG$5,Escalators!$I$43:$U$43,0))</f>
        <v>0</v>
      </c>
      <c r="BH11" s="47">
        <f>INDEX(Direct_Cost_Splits_Network,MATCH($H11,RIN_Asset_Cat_Network,0),MATCH($BK$4,Direct_Cost_Type,0))*$O11*INDEX(Act_Type_Repex_Splits,MATCH($I11,Act_Type_Repex,0),MATCH(BH$4,Mat_Type,0))*INDEX(Escalators!$I$44:$U$49,MATCH(BH$4,Escalators!$C$44:$C$49,0),MATCH(BH$5,Escalators!$I$43:$U$43,0))</f>
        <v>48.822882584366695</v>
      </c>
      <c r="BI11" s="47">
        <f>INDEX(Direct_Cost_Splits_Network,MATCH($H11,RIN_Asset_Cat_Network,0),MATCH($BK$4,Direct_Cost_Type,0))*$O11*INDEX(Act_Type_Repex_Splits,MATCH($I11,Act_Type_Repex,0),MATCH(BI$4,Mat_Type,0))*INDEX(Escalators!$I$44:$U$49,MATCH(BI$4,Escalators!$C$44:$C$49,0),MATCH(BI$5,Escalators!$I$43:$U$43,0))</f>
        <v>0</v>
      </c>
      <c r="BJ11" s="47">
        <f>INDEX(Direct_Cost_Splits_Network,MATCH($H11,RIN_Asset_Cat_Network,0),MATCH($BK$4,Direct_Cost_Type,0))*$O11*INDEX(Act_Type_Repex_Splits,MATCH($I11,Act_Type_Repex,0),MATCH(BJ$4,Mat_Type,0))*INDEX(Escalators!$I$44:$U$49,MATCH(BJ$4,Escalators!$C$44:$C$49,0),MATCH(BJ$5,Escalators!$I$43:$U$43,0))</f>
        <v>195.29153033746678</v>
      </c>
      <c r="BK11" s="47">
        <f t="shared" ref="BK11:BK15" si="30">SUM(BF11:BJ11)</f>
        <v>244.11441292183349</v>
      </c>
      <c r="BL11" s="47">
        <f>INDEX(Direct_Cost_Splits_Network,MATCH($H11,RIN_Asset_Cat_Network,0),MATCH($BQ$4,Direct_Cost_Type,0))*$P11*INDEX(Act_Type_Repex_Splits,MATCH($I11,Act_Type_Repex,0),MATCH(BL$4,Mat_Type,0))*INDEX(Escalators!$I$44:$U$49,MATCH(BL$4,Escalators!$C$44:$C$49,0),MATCH(BL$5,Escalators!$I$43:$U$43,0))</f>
        <v>0</v>
      </c>
      <c r="BM11" s="47">
        <f>INDEX(Direct_Cost_Splits_Network,MATCH($H11,RIN_Asset_Cat_Network,0),MATCH($BQ$4,Direct_Cost_Type,0))*$P11*INDEX(Act_Type_Repex_Splits,MATCH($I11,Act_Type_Repex,0),MATCH(BM$4,Mat_Type,0))*INDEX(Escalators!$I$44:$U$49,MATCH(BM$4,Escalators!$C$44:$C$49,0),MATCH(BM$5,Escalators!$I$43:$U$43,0))</f>
        <v>0</v>
      </c>
      <c r="BN11" s="47">
        <f>INDEX(Direct_Cost_Splits_Network,MATCH($H11,RIN_Asset_Cat_Network,0),MATCH($BQ$4,Direct_Cost_Type,0))*$P11*INDEX(Act_Type_Repex_Splits,MATCH($I11,Act_Type_Repex,0),MATCH(BN$4,Mat_Type,0))*INDEX(Escalators!$I$44:$U$49,MATCH(BN$4,Escalators!$C$44:$C$49,0),MATCH(BN$5,Escalators!$I$43:$U$43,0))</f>
        <v>48.822882584366695</v>
      </c>
      <c r="BO11" s="47">
        <f>INDEX(Direct_Cost_Splits_Network,MATCH($H11,RIN_Asset_Cat_Network,0),MATCH($BQ$4,Direct_Cost_Type,0))*$P11*INDEX(Act_Type_Repex_Splits,MATCH($I11,Act_Type_Repex,0),MATCH(BO$4,Mat_Type,0))*INDEX(Escalators!$I$44:$U$49,MATCH(BO$4,Escalators!$C$44:$C$49,0),MATCH(BO$5,Escalators!$I$43:$U$43,0))</f>
        <v>0</v>
      </c>
      <c r="BP11" s="47">
        <f>INDEX(Direct_Cost_Splits_Network,MATCH($H11,RIN_Asset_Cat_Network,0),MATCH($BQ$4,Direct_Cost_Type,0))*$P11*INDEX(Act_Type_Repex_Splits,MATCH($I11,Act_Type_Repex,0),MATCH(BP$4,Mat_Type,0))*INDEX(Escalators!$I$44:$U$49,MATCH(BP$4,Escalators!$C$44:$C$49,0),MATCH(BP$5,Escalators!$I$43:$U$43,0))</f>
        <v>195.29153033746678</v>
      </c>
      <c r="BQ11" s="47">
        <f t="shared" ref="BQ11:BQ15" si="31">SUM(BL11:BP11)</f>
        <v>244.11441292183349</v>
      </c>
      <c r="BR11" s="47">
        <f>INDEX(Direct_Cost_Splits_Network,MATCH($H11,RIN_Asset_Cat_Network,0),MATCH($BW$4,Direct_Cost_Type,0))*$Q11*INDEX(Act_Type_Repex_Splits,MATCH($I11,Act_Type_Repex,0),MATCH(BR$4,Mat_Type,0))*INDEX(Escalators!$I$44:$U$49,MATCH(BR$4,Escalators!$C$44:$C$49,0),MATCH(BR$5,Escalators!$I$43:$U$43,0))</f>
        <v>0</v>
      </c>
      <c r="BS11" s="47">
        <f>INDEX(Direct_Cost_Splits_Network,MATCH($H11,RIN_Asset_Cat_Network,0),MATCH($BW$4,Direct_Cost_Type,0))*$Q11*INDEX(Act_Type_Repex_Splits,MATCH($I11,Act_Type_Repex,0),MATCH(BS$4,Mat_Type,0))*INDEX(Escalators!$I$44:$U$49,MATCH(BS$4,Escalators!$C$44:$C$49,0),MATCH(BS$5,Escalators!$I$43:$U$43,0))</f>
        <v>0</v>
      </c>
      <c r="BT11" s="47">
        <f>INDEX(Direct_Cost_Splits_Network,MATCH($H11,RIN_Asset_Cat_Network,0),MATCH($BW$4,Direct_Cost_Type,0))*$Q11*INDEX(Act_Type_Repex_Splits,MATCH($I11,Act_Type_Repex,0),MATCH(BT$4,Mat_Type,0))*INDEX(Escalators!$I$44:$U$49,MATCH(BT$4,Escalators!$C$44:$C$49,0),MATCH(BT$5,Escalators!$I$43:$U$43,0))</f>
        <v>0</v>
      </c>
      <c r="BU11" s="47">
        <f>INDEX(Direct_Cost_Splits_Network,MATCH($H11,RIN_Asset_Cat_Network,0),MATCH($BW$4,Direct_Cost_Type,0))*$Q11*INDEX(Act_Type_Repex_Splits,MATCH($I11,Act_Type_Repex,0),MATCH(BU$4,Mat_Type,0))*INDEX(Escalators!$I$44:$U$49,MATCH(BU$4,Escalators!$C$44:$C$49,0),MATCH(BU$5,Escalators!$I$43:$U$43,0))</f>
        <v>0</v>
      </c>
      <c r="BV11" s="47">
        <f>INDEX(Direct_Cost_Splits_Network,MATCH($H11,RIN_Asset_Cat_Network,0),MATCH($BW$4,Direct_Cost_Type,0))*$Q11*INDEX(Act_Type_Repex_Splits,MATCH($I11,Act_Type_Repex,0),MATCH(BV$4,Mat_Type,0))*INDEX(Escalators!$I$44:$U$49,MATCH(BV$4,Escalators!$C$44:$C$49,0),MATCH(BV$5,Escalators!$I$43:$U$43,0))</f>
        <v>0</v>
      </c>
      <c r="BW11" s="47">
        <f t="shared" ref="BW11:BW15" si="32">SUM(BR11:BV11)</f>
        <v>0</v>
      </c>
      <c r="BY11" s="47">
        <f>INDEX(Direct_Cost_Splits_Network,MATCH($H11,RIN_Asset_Cat_Network,0),MATCH($BY$4,Direct_Cost_Type,0))*J11*HLOOKUP(BY$5,Escalators!$I$25:$U$30,6,FALSE)</f>
        <v>0</v>
      </c>
      <c r="BZ11" s="47">
        <f>INDEX(Direct_Cost_Splits_Network,MATCH($H11,RIN_Asset_Cat_Network,0),MATCH($BY$4,Direct_Cost_Type,0))*K11*HLOOKUP(BZ$5,Escalators!$I$25:$U$30,6,FALSE)</f>
        <v>0</v>
      </c>
      <c r="CA11" s="47">
        <f>INDEX(Direct_Cost_Splits_Network,MATCH($H11,RIN_Asset_Cat_Network,0),MATCH($BY$4,Direct_Cost_Type,0))*L11*HLOOKUP(CA$5,Escalators!$I$25:$U$30,6,FALSE)</f>
        <v>0</v>
      </c>
      <c r="CB11" s="47">
        <f>INDEX(Direct_Cost_Splits_Network,MATCH($H11,RIN_Asset_Cat_Network,0),MATCH($BY$4,Direct_Cost_Type,0))*M11*HLOOKUP(CB$5,Escalators!$I$25:$U$30,6,FALSE)</f>
        <v>675.54046464622127</v>
      </c>
      <c r="CC11" s="47">
        <f>INDEX(Direct_Cost_Splits_Network,MATCH($H11,RIN_Asset_Cat_Network,0),MATCH($BY$4,Direct_Cost_Type,0))*N11*HLOOKUP(CC$5,Escalators!$I$25:$U$30,6,FALSE)</f>
        <v>682.47161942120658</v>
      </c>
      <c r="CD11" s="47">
        <f>INDEX(Direct_Cost_Splits_Network,MATCH($H11,RIN_Asset_Cat_Network,0),MATCH($BY$4,Direct_Cost_Type,0))*O11*HLOOKUP(CD$5,Escalators!$I$25:$U$30,6,FALSE)</f>
        <v>689.81766541104594</v>
      </c>
      <c r="CE11" s="47">
        <f>INDEX(Direct_Cost_Splits_Network,MATCH($H11,RIN_Asset_Cat_Network,0),MATCH($BY$4,Direct_Cost_Type,0))*P11*HLOOKUP(CE$5,Escalators!$I$25:$U$30,6,FALSE)</f>
        <v>696.34007027110908</v>
      </c>
      <c r="CF11" s="47">
        <f>INDEX(Direct_Cost_Splits_Network,MATCH($H11,RIN_Asset_Cat_Network,0),MATCH($BY$4,Direct_Cost_Type,0))*Q11*HLOOKUP(CF$5,Escalators!$I$25:$U$30,6,FALSE)</f>
        <v>0</v>
      </c>
      <c r="CH11" s="83">
        <f t="shared" ref="CH11:CO15" si="33">INDEX(Direct_Cost_Splits_Network,MATCH($H11,RIN_Asset_Cat_Network,0),MATCH($CH$4,Direct_Cost_Type,0))*J11</f>
        <v>0</v>
      </c>
      <c r="CI11" s="83">
        <f t="shared" si="33"/>
        <v>0</v>
      </c>
      <c r="CJ11" s="83">
        <f t="shared" si="33"/>
        <v>0</v>
      </c>
      <c r="CK11" s="83">
        <f t="shared" si="33"/>
        <v>101.20203812901914</v>
      </c>
      <c r="CL11" s="83">
        <f t="shared" si="33"/>
        <v>101.20203812901914</v>
      </c>
      <c r="CM11" s="83">
        <f t="shared" si="33"/>
        <v>101.20203812901914</v>
      </c>
      <c r="CN11" s="83">
        <f t="shared" si="33"/>
        <v>101.20203812901914</v>
      </c>
      <c r="CO11" s="83">
        <f t="shared" si="33"/>
        <v>0</v>
      </c>
      <c r="CQ11" s="47">
        <f t="shared" ref="CQ11:CQ15" si="34">S11+AG11+BY11+CH11</f>
        <v>0</v>
      </c>
      <c r="CR11" s="47">
        <f t="shared" ref="CR11:CR15" si="35">T11+AM11+BZ11+CI11</f>
        <v>0</v>
      </c>
      <c r="CS11" s="47">
        <f t="shared" ref="CS11:CS15" si="36">U11+AS11+CA11+CJ11</f>
        <v>0</v>
      </c>
      <c r="CT11" s="47">
        <f t="shared" ref="CT11:CT15" si="37">V11+AY11+CB11+CK11</f>
        <v>1135.3702350557467</v>
      </c>
      <c r="CU11" s="47">
        <f t="shared" ref="CU11:CU15" si="38">W11+BE11+CC11+CL11</f>
        <v>1143.4763150673541</v>
      </c>
      <c r="CV11" s="47">
        <f t="shared" ref="CV11:CV15" si="39">X11+BK11+CD11+CM11</f>
        <v>1152.0676160115336</v>
      </c>
      <c r="CW11" s="47">
        <f t="shared" ref="CW11:CW15" si="40">Y11+BQ11+CE11+CN11</f>
        <v>1159.6956574245721</v>
      </c>
      <c r="CX11" s="47">
        <f t="shared" ref="CX11:CX15" si="41">Z11+BW11+CF11+CO11</f>
        <v>0</v>
      </c>
    </row>
    <row r="12" spans="2:102" x14ac:dyDescent="0.3">
      <c r="B12" s="7"/>
      <c r="C12" s="7" t="s">
        <v>479</v>
      </c>
      <c r="D12" s="7" t="s">
        <v>99</v>
      </c>
      <c r="E12" s="7" t="s">
        <v>48</v>
      </c>
      <c r="F12" s="7" t="s">
        <v>130</v>
      </c>
      <c r="G12" s="7" t="s">
        <v>150</v>
      </c>
      <c r="H12" s="7" t="s">
        <v>5</v>
      </c>
      <c r="I12" s="7" t="s">
        <v>204</v>
      </c>
      <c r="J12" s="45"/>
      <c r="K12" s="45"/>
      <c r="L12" s="45"/>
      <c r="M12" s="45">
        <v>199.99991999999997</v>
      </c>
      <c r="N12" s="45">
        <v>199.99991999999997</v>
      </c>
      <c r="O12" s="45">
        <v>199.99991999999997</v>
      </c>
      <c r="P12" s="45">
        <v>199.99991999999997</v>
      </c>
      <c r="Q12" s="45">
        <v>0</v>
      </c>
      <c r="S12" s="47">
        <f>INDEX(Direct_Cost_Splits_Network,MATCH($H12,RIN_Asset_Cat_Network,0),MATCH($S$4,Direct_Cost_Type,0))*J12*HLOOKUP(S$5,Escalators!$I$25:$U$30,3,FALSE)</f>
        <v>0</v>
      </c>
      <c r="T12" s="47">
        <f>INDEX(Direct_Cost_Splits_Network,MATCH($H12,RIN_Asset_Cat_Network,0),MATCH($S$4,Direct_Cost_Type,0))*K12*HLOOKUP(T$5,Escalators!$I$25:$U$30,3,FALSE)</f>
        <v>0</v>
      </c>
      <c r="U12" s="47">
        <f>INDEX(Direct_Cost_Splits_Network,MATCH($H12,RIN_Asset_Cat_Network,0),MATCH($S$4,Direct_Cost_Type,0))*L12*HLOOKUP(U$5,Escalators!$I$25:$U$30,3,FALSE)</f>
        <v>0</v>
      </c>
      <c r="V12" s="47">
        <f>INDEX(Direct_Cost_Splits_Network,MATCH($H12,RIN_Asset_Cat_Network,0),MATCH($S$4,Direct_Cost_Type,0))*M12*HLOOKUP(V$5,Escalators!$I$25:$U$30,3,FALSE)</f>
        <v>20.630791905982207</v>
      </c>
      <c r="W12" s="47">
        <f>INDEX(Direct_Cost_Splits_Network,MATCH($H12,RIN_Asset_Cat_Network,0),MATCH($S$4,Direct_Cost_Type,0))*N12*HLOOKUP(W$5,Escalators!$I$25:$U$30,3,FALSE)</f>
        <v>20.842467178322501</v>
      </c>
      <c r="X12" s="47">
        <f>INDEX(Direct_Cost_Splits_Network,MATCH($H12,RIN_Asset_Cat_Network,0),MATCH($S$4,Direct_Cost_Type,0))*O12*HLOOKUP(X$5,Escalators!$I$25:$U$30,3,FALSE)</f>
        <v>21.06681309700484</v>
      </c>
      <c r="Y12" s="47">
        <f>INDEX(Direct_Cost_Splits_Network,MATCH($H12,RIN_Asset_Cat_Network,0),MATCH($S$4,Direct_Cost_Type,0))*P12*HLOOKUP(Y$5,Escalators!$I$25:$U$30,3,FALSE)</f>
        <v>21.266005276358598</v>
      </c>
      <c r="Z12" s="47">
        <f>INDEX(Direct_Cost_Splits_Network,MATCH($H12,RIN_Asset_Cat_Network,0),MATCH($S$4,Direct_Cost_Type,0))*Q12*HLOOKUP(Z$5,Escalators!$I$25:$U$30,3,FALSE)</f>
        <v>0</v>
      </c>
      <c r="AB12" s="47">
        <f>INDEX(Direct_Cost_Splits_Network,MATCH($H12,RIN_Asset_Cat_Network,0),MATCH($AG$4,Direct_Cost_Type,0))*$J12*INDEX(Act_Type_Repex_Splits,MATCH($I12,Act_Type_Repex,0),MATCH(AB$4,Mat_Type,0))*INDEX(Escalators!$I$44:$Q$49,MATCH(AB$4,Escalators!$C$44:$C$49,0),MATCH(AB$5,Escalators!$I$43:$Q$43,0))</f>
        <v>0</v>
      </c>
      <c r="AC12" s="47">
        <f>INDEX(Direct_Cost_Splits_Network,MATCH($H12,RIN_Asset_Cat_Network,0),MATCH($AG$4,Direct_Cost_Type,0))*$J12*INDEX(Act_Type_Repex_Splits,MATCH($I12,Act_Type_Repex,0),MATCH(AC$4,Mat_Type,0))*INDEX(Escalators!$I$44:$Q$49,MATCH(AC$4,Escalators!$C$44:$C$49,0),MATCH(AC$5,Escalators!$I$43:$Q$43,0))</f>
        <v>0</v>
      </c>
      <c r="AD12" s="47">
        <f>INDEX(Direct_Cost_Splits_Network,MATCH($H12,RIN_Asset_Cat_Network,0),MATCH($AG$4,Direct_Cost_Type,0))*$J12*INDEX(Act_Type_Repex_Splits,MATCH($I12,Act_Type_Repex,0),MATCH(AD$4,Mat_Type,0))*INDEX(Escalators!$I$44:$Q$49,MATCH(AD$4,Escalators!$C$44:$C$49,0),MATCH(AD$5,Escalators!$I$43:$Q$43,0))</f>
        <v>0</v>
      </c>
      <c r="AE12" s="47">
        <f>INDEX(Direct_Cost_Splits_Network,MATCH($H12,RIN_Asset_Cat_Network,0),MATCH($AG$4,Direct_Cost_Type,0))*$J12*INDEX(Act_Type_Repex_Splits,MATCH($I12,Act_Type_Repex,0),MATCH(AE$4,Mat_Type,0))*INDEX(Escalators!$I$44:$Q$49,MATCH(AE$4,Escalators!$C$44:$C$49,0),MATCH(AE$5,Escalators!$I$43:$Q$43,0))</f>
        <v>0</v>
      </c>
      <c r="AF12" s="47">
        <f>INDEX(Direct_Cost_Splits_Network,MATCH($H12,RIN_Asset_Cat_Network,0),MATCH($AG$4,Direct_Cost_Type,0))*$J12*INDEX(Act_Type_Repex_Splits,MATCH($I12,Act_Type_Repex,0),MATCH(AF$4,Mat_Type,0))*INDEX(Escalators!$I$44:$Q$49,MATCH(AF$4,Escalators!$C$44:$C$49,0),MATCH(AF$5,Escalators!$I$43:$Q$43,0))</f>
        <v>0</v>
      </c>
      <c r="AG12" s="47">
        <f t="shared" si="25"/>
        <v>0</v>
      </c>
      <c r="AH12" s="47">
        <f>INDEX(Direct_Cost_Splits_Network,MATCH($H12,RIN_Asset_Cat_Network,0),MATCH($AY$4,Direct_Cost_Type,0))*$K12*INDEX(Act_Type_Repex_Splits,MATCH($I12,Act_Type_Repex,0),MATCH(AH$4,Mat_Type,0))*INDEX(Escalators!$I$44:$U$49,MATCH(AH$4,Escalators!$C$44:$C$49,0),MATCH(AH$5,Escalators!$I$43:$U$43,0))</f>
        <v>0</v>
      </c>
      <c r="AI12" s="47">
        <f>INDEX(Direct_Cost_Splits_Network,MATCH($H12,RIN_Asset_Cat_Network,0),MATCH($AY$4,Direct_Cost_Type,0))*$K12*INDEX(Act_Type_Repex_Splits,MATCH($I12,Act_Type_Repex,0),MATCH(AI$4,Mat_Type,0))*INDEX(Escalators!$I$44:$U$49,MATCH(AI$4,Escalators!$C$44:$C$49,0),MATCH(AI$5,Escalators!$I$43:$U$43,0))</f>
        <v>0</v>
      </c>
      <c r="AJ12" s="47">
        <f>INDEX(Direct_Cost_Splits_Network,MATCH($H12,RIN_Asset_Cat_Network,0),MATCH($AY$4,Direct_Cost_Type,0))*$K12*INDEX(Act_Type_Repex_Splits,MATCH($I12,Act_Type_Repex,0),MATCH(AJ$4,Mat_Type,0))*INDEX(Escalators!$I$44:$U$49,MATCH(AJ$4,Escalators!$C$44:$C$49,0),MATCH(AJ$5,Escalators!$I$43:$U$43,0))</f>
        <v>0</v>
      </c>
      <c r="AK12" s="47">
        <f>INDEX(Direct_Cost_Splits_Network,MATCH($H12,RIN_Asset_Cat_Network,0),MATCH($AY$4,Direct_Cost_Type,0))*$K12*INDEX(Act_Type_Repex_Splits,MATCH($I12,Act_Type_Repex,0),MATCH(AK$4,Mat_Type,0))*INDEX(Escalators!$I$44:$U$49,MATCH(AK$4,Escalators!$C$44:$C$49,0),MATCH(AK$5,Escalators!$I$43:$U$43,0))</f>
        <v>0</v>
      </c>
      <c r="AL12" s="47">
        <f>INDEX(Direct_Cost_Splits_Network,MATCH($H12,RIN_Asset_Cat_Network,0),MATCH($AY$4,Direct_Cost_Type,0))*$K12*INDEX(Act_Type_Repex_Splits,MATCH($I12,Act_Type_Repex,0),MATCH(AL$4,Mat_Type,0))*INDEX(Escalators!$I$44:$U$49,MATCH(AL$4,Escalators!$C$44:$C$49,0),MATCH(AL$5,Escalators!$I$43:$U$43,0))</f>
        <v>0</v>
      </c>
      <c r="AM12" s="47">
        <f t="shared" si="26"/>
        <v>0</v>
      </c>
      <c r="AN12" s="47">
        <f>INDEX(Direct_Cost_Splits_Network,MATCH($H12,RIN_Asset_Cat_Network,0),MATCH($AY$4,Direct_Cost_Type,0))*$L12*INDEX(Act_Type_Repex_Splits,MATCH($I12,Act_Type_Repex,0),MATCH(AN$4,Mat_Type,0))*INDEX(Escalators!$I$44:$U$49,MATCH(AN$4,Escalators!$C$44:$C$49,0),MATCH(AN$5,Escalators!$I$43:$U$43,0))</f>
        <v>0</v>
      </c>
      <c r="AO12" s="47">
        <f>INDEX(Direct_Cost_Splits_Network,MATCH($H12,RIN_Asset_Cat_Network,0),MATCH($AY$4,Direct_Cost_Type,0))*$L12*INDEX(Act_Type_Repex_Splits,MATCH($I12,Act_Type_Repex,0),MATCH(AO$4,Mat_Type,0))*INDEX(Escalators!$I$44:$U$49,MATCH(AO$4,Escalators!$C$44:$C$49,0),MATCH(AO$5,Escalators!$I$43:$U$43,0))</f>
        <v>0</v>
      </c>
      <c r="AP12" s="47">
        <f>INDEX(Direct_Cost_Splits_Network,MATCH($H12,RIN_Asset_Cat_Network,0),MATCH($AY$4,Direct_Cost_Type,0))*$L12*INDEX(Act_Type_Repex_Splits,MATCH($I12,Act_Type_Repex,0),MATCH(AP$4,Mat_Type,0))*INDEX(Escalators!$I$44:$U$49,MATCH(AP$4,Escalators!$C$44:$C$49,0),MATCH(AP$5,Escalators!$I$43:$U$43,0))</f>
        <v>0</v>
      </c>
      <c r="AQ12" s="47">
        <f>INDEX(Direct_Cost_Splits_Network,MATCH($H12,RIN_Asset_Cat_Network,0),MATCH($AY$4,Direct_Cost_Type,0))*$L12*INDEX(Act_Type_Repex_Splits,MATCH($I12,Act_Type_Repex,0),MATCH(AQ$4,Mat_Type,0))*INDEX(Escalators!$I$44:$U$49,MATCH(AQ$4,Escalators!$C$44:$C$49,0),MATCH(AQ$5,Escalators!$I$43:$U$43,0))</f>
        <v>0</v>
      </c>
      <c r="AR12" s="47">
        <f>INDEX(Direct_Cost_Splits_Network,MATCH($H12,RIN_Asset_Cat_Network,0),MATCH($AY$4,Direct_Cost_Type,0))*$L12*INDEX(Act_Type_Repex_Splits,MATCH($I12,Act_Type_Repex,0),MATCH(AR$4,Mat_Type,0))*INDEX(Escalators!$I$44:$U$49,MATCH(AR$4,Escalators!$C$44:$C$49,0),MATCH(AR$5,Escalators!$I$43:$U$43,0))</f>
        <v>0</v>
      </c>
      <c r="AS12" s="47">
        <f t="shared" si="27"/>
        <v>0</v>
      </c>
      <c r="AT12" s="47">
        <f>INDEX(Direct_Cost_Splits_Network,MATCH($H12,RIN_Asset_Cat_Network,0),MATCH($AY$4,Direct_Cost_Type,0))*$M12*INDEX(Act_Type_Repex_Splits,MATCH($I12,Act_Type_Repex,0),MATCH(AT$4,Mat_Type,0))*INDEX(Escalators!$I$44:$U$49,MATCH(AT$4,Escalators!$C$44:$C$49,0),MATCH(AT$5,Escalators!$I$43:$U$43,0))</f>
        <v>0</v>
      </c>
      <c r="AU12" s="47">
        <f>INDEX(Direct_Cost_Splits_Network,MATCH($H12,RIN_Asset_Cat_Network,0),MATCH($AY$4,Direct_Cost_Type,0))*$M12*INDEX(Act_Type_Repex_Splits,MATCH($I12,Act_Type_Repex,0),MATCH(AU$4,Mat_Type,0))*INDEX(Escalators!$I$44:$U$49,MATCH(AU$4,Escalators!$C$44:$C$49,0),MATCH(AU$5,Escalators!$I$43:$U$43,0))</f>
        <v>0</v>
      </c>
      <c r="AV12" s="47">
        <f>INDEX(Direct_Cost_Splits_Network,MATCH($H12,RIN_Asset_Cat_Network,0),MATCH($AY$4,Direct_Cost_Type,0))*$M12*INDEX(Act_Type_Repex_Splits,MATCH($I12,Act_Type_Repex,0),MATCH(AV$4,Mat_Type,0))*INDEX(Escalators!$I$44:$U$49,MATCH(AV$4,Escalators!$C$44:$C$49,0),MATCH(AV$5,Escalators!$I$43:$U$43,0))</f>
        <v>8.795961347460393</v>
      </c>
      <c r="AW12" s="47">
        <f>INDEX(Direct_Cost_Splits_Network,MATCH($H12,RIN_Asset_Cat_Network,0),MATCH($AY$4,Direct_Cost_Type,0))*$M12*INDEX(Act_Type_Repex_Splits,MATCH($I12,Act_Type_Repex,0),MATCH(AW$4,Mat_Type,0))*INDEX(Escalators!$I$44:$U$49,MATCH(AW$4,Escalators!$C$44:$C$49,0),MATCH(AW$5,Escalators!$I$43:$U$43,0))</f>
        <v>0</v>
      </c>
      <c r="AX12" s="47">
        <f>INDEX(Direct_Cost_Splits_Network,MATCH($H12,RIN_Asset_Cat_Network,0),MATCH($AY$4,Direct_Cost_Type,0))*$M12*INDEX(Act_Type_Repex_Splits,MATCH($I12,Act_Type_Repex,0),MATCH(AX$4,Mat_Type,0))*INDEX(Escalators!$I$44:$U$49,MATCH(AX$4,Escalators!$C$44:$C$49,0),MATCH(AX$5,Escalators!$I$43:$U$43,0))</f>
        <v>35.183845389841572</v>
      </c>
      <c r="AY12" s="47">
        <f t="shared" si="28"/>
        <v>43.979806737301963</v>
      </c>
      <c r="AZ12" s="47">
        <f>INDEX(Direct_Cost_Splits_Network,MATCH($H12,RIN_Asset_Cat_Network,0),MATCH($BE$4,Direct_Cost_Type,0))*$N12*INDEX(Act_Type_Repex_Splits,MATCH($I12,Act_Type_Repex,0),MATCH(AZ$4,Mat_Type,0))*INDEX(Escalators!$I$44:$U$49,MATCH(AZ$4,Escalators!$C$44:$C$49,0),MATCH(AZ$5,Escalators!$I$43:$U$43,0))</f>
        <v>0</v>
      </c>
      <c r="BA12" s="47">
        <f>INDEX(Direct_Cost_Splits_Network,MATCH($H12,RIN_Asset_Cat_Network,0),MATCH($BE$4,Direct_Cost_Type,0))*$N12*INDEX(Act_Type_Repex_Splits,MATCH($I12,Act_Type_Repex,0),MATCH(BA$4,Mat_Type,0))*INDEX(Escalators!$I$44:$U$49,MATCH(BA$4,Escalators!$C$44:$C$49,0),MATCH(BA$5,Escalators!$I$43:$U$43,0))</f>
        <v>0</v>
      </c>
      <c r="BB12" s="47">
        <f>INDEX(Direct_Cost_Splits_Network,MATCH($H12,RIN_Asset_Cat_Network,0),MATCH($BE$4,Direct_Cost_Type,0))*$N12*INDEX(Act_Type_Repex_Splits,MATCH($I12,Act_Type_Repex,0),MATCH(BB$4,Mat_Type,0))*INDEX(Escalators!$I$44:$U$49,MATCH(BB$4,Escalators!$C$44:$C$49,0),MATCH(BB$5,Escalators!$I$43:$U$43,0))</f>
        <v>8.795961347460393</v>
      </c>
      <c r="BC12" s="47">
        <f>INDEX(Direct_Cost_Splits_Network,MATCH($H12,RIN_Asset_Cat_Network,0),MATCH($BE$4,Direct_Cost_Type,0))*$N12*INDEX(Act_Type_Repex_Splits,MATCH($I12,Act_Type_Repex,0),MATCH(BC$4,Mat_Type,0))*INDEX(Escalators!$I$44:$U$49,MATCH(BC$4,Escalators!$C$44:$C$49,0),MATCH(BC$5,Escalators!$I$43:$U$43,0))</f>
        <v>0</v>
      </c>
      <c r="BD12" s="47">
        <f>INDEX(Direct_Cost_Splits_Network,MATCH($H12,RIN_Asset_Cat_Network,0),MATCH($BE$4,Direct_Cost_Type,0))*$N12*INDEX(Act_Type_Repex_Splits,MATCH($I12,Act_Type_Repex,0),MATCH(BD$4,Mat_Type,0))*INDEX(Escalators!$I$44:$U$49,MATCH(BD$4,Escalators!$C$44:$C$49,0),MATCH(BD$5,Escalators!$I$43:$U$43,0))</f>
        <v>35.183845389841572</v>
      </c>
      <c r="BE12" s="47">
        <f t="shared" si="29"/>
        <v>43.979806737301963</v>
      </c>
      <c r="BF12" s="47">
        <f>INDEX(Direct_Cost_Splits_Network,MATCH($H12,RIN_Asset_Cat_Network,0),MATCH($BK$4,Direct_Cost_Type,0))*$O12*INDEX(Act_Type_Repex_Splits,MATCH($I12,Act_Type_Repex,0),MATCH(BF$4,Mat_Type,0))*INDEX(Escalators!$I$44:$U$49,MATCH(BF$4,Escalators!$C$44:$C$49,0),MATCH(BF$5,Escalators!$I$43:$U$43,0))</f>
        <v>0</v>
      </c>
      <c r="BG12" s="47">
        <f>INDEX(Direct_Cost_Splits_Network,MATCH($H12,RIN_Asset_Cat_Network,0),MATCH($BK$4,Direct_Cost_Type,0))*$O12*INDEX(Act_Type_Repex_Splits,MATCH($I12,Act_Type_Repex,0),MATCH(BG$4,Mat_Type,0))*INDEX(Escalators!$I$44:$U$49,MATCH(BG$4,Escalators!$C$44:$C$49,0),MATCH(BG$5,Escalators!$I$43:$U$43,0))</f>
        <v>0</v>
      </c>
      <c r="BH12" s="47">
        <f>INDEX(Direct_Cost_Splits_Network,MATCH($H12,RIN_Asset_Cat_Network,0),MATCH($BK$4,Direct_Cost_Type,0))*$O12*INDEX(Act_Type_Repex_Splits,MATCH($I12,Act_Type_Repex,0),MATCH(BH$4,Mat_Type,0))*INDEX(Escalators!$I$44:$U$49,MATCH(BH$4,Escalators!$C$44:$C$49,0),MATCH(BH$5,Escalators!$I$43:$U$43,0))</f>
        <v>8.795961347460393</v>
      </c>
      <c r="BI12" s="47">
        <f>INDEX(Direct_Cost_Splits_Network,MATCH($H12,RIN_Asset_Cat_Network,0),MATCH($BK$4,Direct_Cost_Type,0))*$O12*INDEX(Act_Type_Repex_Splits,MATCH($I12,Act_Type_Repex,0),MATCH(BI$4,Mat_Type,0))*INDEX(Escalators!$I$44:$U$49,MATCH(BI$4,Escalators!$C$44:$C$49,0),MATCH(BI$5,Escalators!$I$43:$U$43,0))</f>
        <v>0</v>
      </c>
      <c r="BJ12" s="47">
        <f>INDEX(Direct_Cost_Splits_Network,MATCH($H12,RIN_Asset_Cat_Network,0),MATCH($BK$4,Direct_Cost_Type,0))*$O12*INDEX(Act_Type_Repex_Splits,MATCH($I12,Act_Type_Repex,0),MATCH(BJ$4,Mat_Type,0))*INDEX(Escalators!$I$44:$U$49,MATCH(BJ$4,Escalators!$C$44:$C$49,0),MATCH(BJ$5,Escalators!$I$43:$U$43,0))</f>
        <v>35.183845389841572</v>
      </c>
      <c r="BK12" s="47">
        <f t="shared" si="30"/>
        <v>43.979806737301963</v>
      </c>
      <c r="BL12" s="47">
        <f>INDEX(Direct_Cost_Splits_Network,MATCH($H12,RIN_Asset_Cat_Network,0),MATCH($BQ$4,Direct_Cost_Type,0))*$P12*INDEX(Act_Type_Repex_Splits,MATCH($I12,Act_Type_Repex,0),MATCH(BL$4,Mat_Type,0))*INDEX(Escalators!$I$44:$U$49,MATCH(BL$4,Escalators!$C$44:$C$49,0),MATCH(BL$5,Escalators!$I$43:$U$43,0))</f>
        <v>0</v>
      </c>
      <c r="BM12" s="47">
        <f>INDEX(Direct_Cost_Splits_Network,MATCH($H12,RIN_Asset_Cat_Network,0),MATCH($BQ$4,Direct_Cost_Type,0))*$P12*INDEX(Act_Type_Repex_Splits,MATCH($I12,Act_Type_Repex,0),MATCH(BM$4,Mat_Type,0))*INDEX(Escalators!$I$44:$U$49,MATCH(BM$4,Escalators!$C$44:$C$49,0),MATCH(BM$5,Escalators!$I$43:$U$43,0))</f>
        <v>0</v>
      </c>
      <c r="BN12" s="47">
        <f>INDEX(Direct_Cost_Splits_Network,MATCH($H12,RIN_Asset_Cat_Network,0),MATCH($BQ$4,Direct_Cost_Type,0))*$P12*INDEX(Act_Type_Repex_Splits,MATCH($I12,Act_Type_Repex,0),MATCH(BN$4,Mat_Type,0))*INDEX(Escalators!$I$44:$U$49,MATCH(BN$4,Escalators!$C$44:$C$49,0),MATCH(BN$5,Escalators!$I$43:$U$43,0))</f>
        <v>8.795961347460393</v>
      </c>
      <c r="BO12" s="47">
        <f>INDEX(Direct_Cost_Splits_Network,MATCH($H12,RIN_Asset_Cat_Network,0),MATCH($BQ$4,Direct_Cost_Type,0))*$P12*INDEX(Act_Type_Repex_Splits,MATCH($I12,Act_Type_Repex,0),MATCH(BO$4,Mat_Type,0))*INDEX(Escalators!$I$44:$U$49,MATCH(BO$4,Escalators!$C$44:$C$49,0),MATCH(BO$5,Escalators!$I$43:$U$43,0))</f>
        <v>0</v>
      </c>
      <c r="BP12" s="47">
        <f>INDEX(Direct_Cost_Splits_Network,MATCH($H12,RIN_Asset_Cat_Network,0),MATCH($BQ$4,Direct_Cost_Type,0))*$P12*INDEX(Act_Type_Repex_Splits,MATCH($I12,Act_Type_Repex,0),MATCH(BP$4,Mat_Type,0))*INDEX(Escalators!$I$44:$U$49,MATCH(BP$4,Escalators!$C$44:$C$49,0),MATCH(BP$5,Escalators!$I$43:$U$43,0))</f>
        <v>35.183845389841572</v>
      </c>
      <c r="BQ12" s="47">
        <f t="shared" si="31"/>
        <v>43.979806737301963</v>
      </c>
      <c r="BR12" s="47">
        <f>INDEX(Direct_Cost_Splits_Network,MATCH($H12,RIN_Asset_Cat_Network,0),MATCH($BW$4,Direct_Cost_Type,0))*$Q12*INDEX(Act_Type_Repex_Splits,MATCH($I12,Act_Type_Repex,0),MATCH(BR$4,Mat_Type,0))*INDEX(Escalators!$I$44:$U$49,MATCH(BR$4,Escalators!$C$44:$C$49,0),MATCH(BR$5,Escalators!$I$43:$U$43,0))</f>
        <v>0</v>
      </c>
      <c r="BS12" s="47">
        <f>INDEX(Direct_Cost_Splits_Network,MATCH($H12,RIN_Asset_Cat_Network,0),MATCH($BW$4,Direct_Cost_Type,0))*$Q12*INDEX(Act_Type_Repex_Splits,MATCH($I12,Act_Type_Repex,0),MATCH(BS$4,Mat_Type,0))*INDEX(Escalators!$I$44:$U$49,MATCH(BS$4,Escalators!$C$44:$C$49,0),MATCH(BS$5,Escalators!$I$43:$U$43,0))</f>
        <v>0</v>
      </c>
      <c r="BT12" s="47">
        <f>INDEX(Direct_Cost_Splits_Network,MATCH($H12,RIN_Asset_Cat_Network,0),MATCH($BW$4,Direct_Cost_Type,0))*$Q12*INDEX(Act_Type_Repex_Splits,MATCH($I12,Act_Type_Repex,0),MATCH(BT$4,Mat_Type,0))*INDEX(Escalators!$I$44:$U$49,MATCH(BT$4,Escalators!$C$44:$C$49,0),MATCH(BT$5,Escalators!$I$43:$U$43,0))</f>
        <v>0</v>
      </c>
      <c r="BU12" s="47">
        <f>INDEX(Direct_Cost_Splits_Network,MATCH($H12,RIN_Asset_Cat_Network,0),MATCH($BW$4,Direct_Cost_Type,0))*$Q12*INDEX(Act_Type_Repex_Splits,MATCH($I12,Act_Type_Repex,0),MATCH(BU$4,Mat_Type,0))*INDEX(Escalators!$I$44:$U$49,MATCH(BU$4,Escalators!$C$44:$C$49,0),MATCH(BU$5,Escalators!$I$43:$U$43,0))</f>
        <v>0</v>
      </c>
      <c r="BV12" s="47">
        <f>INDEX(Direct_Cost_Splits_Network,MATCH($H12,RIN_Asset_Cat_Network,0),MATCH($BW$4,Direct_Cost_Type,0))*$Q12*INDEX(Act_Type_Repex_Splits,MATCH($I12,Act_Type_Repex,0),MATCH(BV$4,Mat_Type,0))*INDEX(Escalators!$I$44:$U$49,MATCH(BV$4,Escalators!$C$44:$C$49,0),MATCH(BV$5,Escalators!$I$43:$U$43,0))</f>
        <v>0</v>
      </c>
      <c r="BW12" s="47">
        <f t="shared" si="32"/>
        <v>0</v>
      </c>
      <c r="BY12" s="47">
        <f>INDEX(Direct_Cost_Splits_Network,MATCH($H12,RIN_Asset_Cat_Network,0),MATCH($BY$4,Direct_Cost_Type,0))*J12*HLOOKUP(BY$5,Escalators!$I$25:$U$30,6,FALSE)</f>
        <v>0</v>
      </c>
      <c r="BZ12" s="47">
        <f>INDEX(Direct_Cost_Splits_Network,MATCH($H12,RIN_Asset_Cat_Network,0),MATCH($BY$4,Direct_Cost_Type,0))*K12*HLOOKUP(BZ$5,Escalators!$I$25:$U$30,6,FALSE)</f>
        <v>0</v>
      </c>
      <c r="CA12" s="47">
        <f>INDEX(Direct_Cost_Splits_Network,MATCH($H12,RIN_Asset_Cat_Network,0),MATCH($BY$4,Direct_Cost_Type,0))*L12*HLOOKUP(CA$5,Escalators!$I$25:$U$30,6,FALSE)</f>
        <v>0</v>
      </c>
      <c r="CB12" s="47">
        <f>INDEX(Direct_Cost_Splits_Network,MATCH($H12,RIN_Asset_Cat_Network,0),MATCH($BY$4,Direct_Cost_Type,0))*M12*HLOOKUP(CB$5,Escalators!$I$25:$U$30,6,FALSE)</f>
        <v>121.70579656794497</v>
      </c>
      <c r="CC12" s="47">
        <f>INDEX(Direct_Cost_Splits_Network,MATCH($H12,RIN_Asset_Cat_Network,0),MATCH($BY$4,Direct_Cost_Type,0))*N12*HLOOKUP(CC$5,Escalators!$I$25:$U$30,6,FALSE)</f>
        <v>122.95451778772724</v>
      </c>
      <c r="CD12" s="47">
        <f>INDEX(Direct_Cost_Splits_Network,MATCH($H12,RIN_Asset_Cat_Network,0),MATCH($BY$4,Direct_Cost_Type,0))*O12*HLOOKUP(CD$5,Escalators!$I$25:$U$30,6,FALSE)</f>
        <v>124.27798607069141</v>
      </c>
      <c r="CE12" s="47">
        <f>INDEX(Direct_Cost_Splits_Network,MATCH($H12,RIN_Asset_Cat_Network,0),MATCH($BY$4,Direct_Cost_Type,0))*P12*HLOOKUP(CE$5,Escalators!$I$25:$U$30,6,FALSE)</f>
        <v>125.45306664776439</v>
      </c>
      <c r="CF12" s="47">
        <f>INDEX(Direct_Cost_Splits_Network,MATCH($H12,RIN_Asset_Cat_Network,0),MATCH($BY$4,Direct_Cost_Type,0))*Q12*HLOOKUP(CF$5,Escalators!$I$25:$U$30,6,FALSE)</f>
        <v>0</v>
      </c>
      <c r="CH12" s="83">
        <f t="shared" si="33"/>
        <v>0</v>
      </c>
      <c r="CI12" s="83">
        <f t="shared" si="33"/>
        <v>0</v>
      </c>
      <c r="CJ12" s="83">
        <f t="shared" si="33"/>
        <v>0</v>
      </c>
      <c r="CK12" s="83">
        <f t="shared" si="33"/>
        <v>18.232623076460904</v>
      </c>
      <c r="CL12" s="83">
        <f t="shared" si="33"/>
        <v>18.232623076460904</v>
      </c>
      <c r="CM12" s="83">
        <f t="shared" si="33"/>
        <v>18.232623076460904</v>
      </c>
      <c r="CN12" s="83">
        <f t="shared" si="33"/>
        <v>18.232623076460904</v>
      </c>
      <c r="CO12" s="83">
        <f t="shared" si="33"/>
        <v>0</v>
      </c>
      <c r="CQ12" s="47">
        <f t="shared" si="34"/>
        <v>0</v>
      </c>
      <c r="CR12" s="47">
        <f t="shared" si="35"/>
        <v>0</v>
      </c>
      <c r="CS12" s="47">
        <f t="shared" si="36"/>
        <v>0</v>
      </c>
      <c r="CT12" s="47">
        <f t="shared" si="37"/>
        <v>204.54901828769002</v>
      </c>
      <c r="CU12" s="47">
        <f t="shared" si="38"/>
        <v>206.0094147798126</v>
      </c>
      <c r="CV12" s="47">
        <f t="shared" si="39"/>
        <v>207.5572289814591</v>
      </c>
      <c r="CW12" s="47">
        <f t="shared" si="40"/>
        <v>208.93150173788584</v>
      </c>
      <c r="CX12" s="47">
        <f t="shared" si="41"/>
        <v>0</v>
      </c>
    </row>
    <row r="13" spans="2:102" x14ac:dyDescent="0.3">
      <c r="B13" s="7"/>
      <c r="C13" s="7" t="s">
        <v>442</v>
      </c>
      <c r="D13" s="7" t="s">
        <v>101</v>
      </c>
      <c r="E13" s="7" t="s">
        <v>48</v>
      </c>
      <c r="F13" s="7" t="s">
        <v>130</v>
      </c>
      <c r="G13" s="7" t="s">
        <v>150</v>
      </c>
      <c r="H13" s="7" t="s">
        <v>5</v>
      </c>
      <c r="I13" s="7" t="s">
        <v>204</v>
      </c>
      <c r="J13" s="45"/>
      <c r="K13" s="45"/>
      <c r="L13" s="45"/>
      <c r="M13" s="45">
        <v>1599.972</v>
      </c>
      <c r="N13" s="45">
        <v>1599.972</v>
      </c>
      <c r="O13" s="45">
        <v>1599.972</v>
      </c>
      <c r="P13" s="45">
        <v>1599.972</v>
      </c>
      <c r="Q13" s="45">
        <v>1599.972</v>
      </c>
      <c r="S13" s="47">
        <f>INDEX(Direct_Cost_Splits_Network,MATCH($H13,RIN_Asset_Cat_Network,0),MATCH($S$4,Direct_Cost_Type,0))*J13*HLOOKUP(S$5,Escalators!$I$25:$U$30,3,FALSE)</f>
        <v>0</v>
      </c>
      <c r="T13" s="47">
        <f>INDEX(Direct_Cost_Splits_Network,MATCH($H13,RIN_Asset_Cat_Network,0),MATCH($S$4,Direct_Cost_Type,0))*K13*HLOOKUP(T$5,Escalators!$I$25:$U$30,3,FALSE)</f>
        <v>0</v>
      </c>
      <c r="U13" s="47">
        <f>INDEX(Direct_Cost_Splits_Network,MATCH($H13,RIN_Asset_Cat_Network,0),MATCH($S$4,Direct_Cost_Type,0))*L13*HLOOKUP(U$5,Escalators!$I$25:$U$30,3,FALSE)</f>
        <v>0</v>
      </c>
      <c r="V13" s="47">
        <f>INDEX(Direct_Cost_Splits_Network,MATCH($H13,RIN_Asset_Cat_Network,0),MATCH($S$4,Direct_Cost_Type,0))*M13*HLOOKUP(V$5,Escalators!$I$25:$U$30,3,FALSE)</f>
        <v>165.04351295439602</v>
      </c>
      <c r="W13" s="47">
        <f>INDEX(Direct_Cost_Splits_Network,MATCH($H13,RIN_Asset_Cat_Network,0),MATCH($S$4,Direct_Cost_Type,0))*N13*HLOOKUP(W$5,Escalators!$I$25:$U$30,3,FALSE)</f>
        <v>166.73688617592953</v>
      </c>
      <c r="X13" s="47">
        <f>INDEX(Direct_Cost_Splits_Network,MATCH($H13,RIN_Asset_Cat_Network,0),MATCH($S$4,Direct_Cost_Type,0))*O13*HLOOKUP(X$5,Escalators!$I$25:$U$30,3,FALSE)</f>
        <v>168.53162283485429</v>
      </c>
      <c r="Y13" s="47">
        <f>INDEX(Direct_Cost_Splits_Network,MATCH($H13,RIN_Asset_Cat_Network,0),MATCH($S$4,Direct_Cost_Type,0))*P13*HLOOKUP(Y$5,Escalators!$I$25:$U$30,3,FALSE)</f>
        <v>170.12513302018331</v>
      </c>
      <c r="Z13" s="47">
        <f>INDEX(Direct_Cost_Splits_Network,MATCH($H13,RIN_Asset_Cat_Network,0),MATCH($S$4,Direct_Cost_Type,0))*Q13*HLOOKUP(Z$5,Escalators!$I$25:$U$30,3,FALSE)</f>
        <v>171.62223419076091</v>
      </c>
      <c r="AB13" s="47">
        <f>INDEX(Direct_Cost_Splits_Network,MATCH($H13,RIN_Asset_Cat_Network,0),MATCH($AG$4,Direct_Cost_Type,0))*$J13*INDEX(Act_Type_Repex_Splits,MATCH($I13,Act_Type_Repex,0),MATCH(AB$4,Mat_Type,0))*INDEX(Escalators!$I$44:$Q$49,MATCH(AB$4,Escalators!$C$44:$C$49,0),MATCH(AB$5,Escalators!$I$43:$Q$43,0))</f>
        <v>0</v>
      </c>
      <c r="AC13" s="47">
        <f>INDEX(Direct_Cost_Splits_Network,MATCH($H13,RIN_Asset_Cat_Network,0),MATCH($AG$4,Direct_Cost_Type,0))*$J13*INDEX(Act_Type_Repex_Splits,MATCH($I13,Act_Type_Repex,0),MATCH(AC$4,Mat_Type,0))*INDEX(Escalators!$I$44:$Q$49,MATCH(AC$4,Escalators!$C$44:$C$49,0),MATCH(AC$5,Escalators!$I$43:$Q$43,0))</f>
        <v>0</v>
      </c>
      <c r="AD13" s="47">
        <f>INDEX(Direct_Cost_Splits_Network,MATCH($H13,RIN_Asset_Cat_Network,0),MATCH($AG$4,Direct_Cost_Type,0))*$J13*INDEX(Act_Type_Repex_Splits,MATCH($I13,Act_Type_Repex,0),MATCH(AD$4,Mat_Type,0))*INDEX(Escalators!$I$44:$Q$49,MATCH(AD$4,Escalators!$C$44:$C$49,0),MATCH(AD$5,Escalators!$I$43:$Q$43,0))</f>
        <v>0</v>
      </c>
      <c r="AE13" s="47">
        <f>INDEX(Direct_Cost_Splits_Network,MATCH($H13,RIN_Asset_Cat_Network,0),MATCH($AG$4,Direct_Cost_Type,0))*$J13*INDEX(Act_Type_Repex_Splits,MATCH($I13,Act_Type_Repex,0),MATCH(AE$4,Mat_Type,0))*INDEX(Escalators!$I$44:$Q$49,MATCH(AE$4,Escalators!$C$44:$C$49,0),MATCH(AE$5,Escalators!$I$43:$Q$43,0))</f>
        <v>0</v>
      </c>
      <c r="AF13" s="47">
        <f>INDEX(Direct_Cost_Splits_Network,MATCH($H13,RIN_Asset_Cat_Network,0),MATCH($AG$4,Direct_Cost_Type,0))*$J13*INDEX(Act_Type_Repex_Splits,MATCH($I13,Act_Type_Repex,0),MATCH(AF$4,Mat_Type,0))*INDEX(Escalators!$I$44:$Q$49,MATCH(AF$4,Escalators!$C$44:$C$49,0),MATCH(AF$5,Escalators!$I$43:$Q$43,0))</f>
        <v>0</v>
      </c>
      <c r="AG13" s="47">
        <f t="shared" si="25"/>
        <v>0</v>
      </c>
      <c r="AH13" s="47">
        <f>INDEX(Direct_Cost_Splits_Network,MATCH($H13,RIN_Asset_Cat_Network,0),MATCH($AY$4,Direct_Cost_Type,0))*$K13*INDEX(Act_Type_Repex_Splits,MATCH($I13,Act_Type_Repex,0),MATCH(AH$4,Mat_Type,0))*INDEX(Escalators!$I$44:$U$49,MATCH(AH$4,Escalators!$C$44:$C$49,0),MATCH(AH$5,Escalators!$I$43:$U$43,0))</f>
        <v>0</v>
      </c>
      <c r="AI13" s="47">
        <f>INDEX(Direct_Cost_Splits_Network,MATCH($H13,RIN_Asset_Cat_Network,0),MATCH($AY$4,Direct_Cost_Type,0))*$K13*INDEX(Act_Type_Repex_Splits,MATCH($I13,Act_Type_Repex,0),MATCH(AI$4,Mat_Type,0))*INDEX(Escalators!$I$44:$U$49,MATCH(AI$4,Escalators!$C$44:$C$49,0),MATCH(AI$5,Escalators!$I$43:$U$43,0))</f>
        <v>0</v>
      </c>
      <c r="AJ13" s="47">
        <f>INDEX(Direct_Cost_Splits_Network,MATCH($H13,RIN_Asset_Cat_Network,0),MATCH($AY$4,Direct_Cost_Type,0))*$K13*INDEX(Act_Type_Repex_Splits,MATCH($I13,Act_Type_Repex,0),MATCH(AJ$4,Mat_Type,0))*INDEX(Escalators!$I$44:$U$49,MATCH(AJ$4,Escalators!$C$44:$C$49,0),MATCH(AJ$5,Escalators!$I$43:$U$43,0))</f>
        <v>0</v>
      </c>
      <c r="AK13" s="47">
        <f>INDEX(Direct_Cost_Splits_Network,MATCH($H13,RIN_Asset_Cat_Network,0),MATCH($AY$4,Direct_Cost_Type,0))*$K13*INDEX(Act_Type_Repex_Splits,MATCH($I13,Act_Type_Repex,0),MATCH(AK$4,Mat_Type,0))*INDEX(Escalators!$I$44:$U$49,MATCH(AK$4,Escalators!$C$44:$C$49,0),MATCH(AK$5,Escalators!$I$43:$U$43,0))</f>
        <v>0</v>
      </c>
      <c r="AL13" s="47">
        <f>INDEX(Direct_Cost_Splits_Network,MATCH($H13,RIN_Asset_Cat_Network,0),MATCH($AY$4,Direct_Cost_Type,0))*$K13*INDEX(Act_Type_Repex_Splits,MATCH($I13,Act_Type_Repex,0),MATCH(AL$4,Mat_Type,0))*INDEX(Escalators!$I$44:$U$49,MATCH(AL$4,Escalators!$C$44:$C$49,0),MATCH(AL$5,Escalators!$I$43:$U$43,0))</f>
        <v>0</v>
      </c>
      <c r="AM13" s="47">
        <f t="shared" si="26"/>
        <v>0</v>
      </c>
      <c r="AN13" s="47">
        <f>INDEX(Direct_Cost_Splits_Network,MATCH($H13,RIN_Asset_Cat_Network,0),MATCH($AY$4,Direct_Cost_Type,0))*$L13*INDEX(Act_Type_Repex_Splits,MATCH($I13,Act_Type_Repex,0),MATCH(AN$4,Mat_Type,0))*INDEX(Escalators!$I$44:$U$49,MATCH(AN$4,Escalators!$C$44:$C$49,0),MATCH(AN$5,Escalators!$I$43:$U$43,0))</f>
        <v>0</v>
      </c>
      <c r="AO13" s="47">
        <f>INDEX(Direct_Cost_Splits_Network,MATCH($H13,RIN_Asset_Cat_Network,0),MATCH($AY$4,Direct_Cost_Type,0))*$L13*INDEX(Act_Type_Repex_Splits,MATCH($I13,Act_Type_Repex,0),MATCH(AO$4,Mat_Type,0))*INDEX(Escalators!$I$44:$U$49,MATCH(AO$4,Escalators!$C$44:$C$49,0),MATCH(AO$5,Escalators!$I$43:$U$43,0))</f>
        <v>0</v>
      </c>
      <c r="AP13" s="47">
        <f>INDEX(Direct_Cost_Splits_Network,MATCH($H13,RIN_Asset_Cat_Network,0),MATCH($AY$4,Direct_Cost_Type,0))*$L13*INDEX(Act_Type_Repex_Splits,MATCH($I13,Act_Type_Repex,0),MATCH(AP$4,Mat_Type,0))*INDEX(Escalators!$I$44:$U$49,MATCH(AP$4,Escalators!$C$44:$C$49,0),MATCH(AP$5,Escalators!$I$43:$U$43,0))</f>
        <v>0</v>
      </c>
      <c r="AQ13" s="47">
        <f>INDEX(Direct_Cost_Splits_Network,MATCH($H13,RIN_Asset_Cat_Network,0),MATCH($AY$4,Direct_Cost_Type,0))*$L13*INDEX(Act_Type_Repex_Splits,MATCH($I13,Act_Type_Repex,0),MATCH(AQ$4,Mat_Type,0))*INDEX(Escalators!$I$44:$U$49,MATCH(AQ$4,Escalators!$C$44:$C$49,0),MATCH(AQ$5,Escalators!$I$43:$U$43,0))</f>
        <v>0</v>
      </c>
      <c r="AR13" s="47">
        <f>INDEX(Direct_Cost_Splits_Network,MATCH($H13,RIN_Asset_Cat_Network,0),MATCH($AY$4,Direct_Cost_Type,0))*$L13*INDEX(Act_Type_Repex_Splits,MATCH($I13,Act_Type_Repex,0),MATCH(AR$4,Mat_Type,0))*INDEX(Escalators!$I$44:$U$49,MATCH(AR$4,Escalators!$C$44:$C$49,0),MATCH(AR$5,Escalators!$I$43:$U$43,0))</f>
        <v>0</v>
      </c>
      <c r="AS13" s="47">
        <f t="shared" si="27"/>
        <v>0</v>
      </c>
      <c r="AT13" s="47">
        <f>INDEX(Direct_Cost_Splits_Network,MATCH($H13,RIN_Asset_Cat_Network,0),MATCH($AY$4,Direct_Cost_Type,0))*$M13*INDEX(Act_Type_Repex_Splits,MATCH($I13,Act_Type_Repex,0),MATCH(AT$4,Mat_Type,0))*INDEX(Escalators!$I$44:$U$49,MATCH(AT$4,Escalators!$C$44:$C$49,0),MATCH(AT$5,Escalators!$I$43:$U$43,0))</f>
        <v>0</v>
      </c>
      <c r="AU13" s="47">
        <f>INDEX(Direct_Cost_Splits_Network,MATCH($H13,RIN_Asset_Cat_Network,0),MATCH($AY$4,Direct_Cost_Type,0))*$M13*INDEX(Act_Type_Repex_Splits,MATCH($I13,Act_Type_Repex,0),MATCH(AU$4,Mat_Type,0))*INDEX(Escalators!$I$44:$U$49,MATCH(AU$4,Escalators!$C$44:$C$49,0),MATCH(AU$5,Escalators!$I$43:$U$43,0))</f>
        <v>0</v>
      </c>
      <c r="AV13" s="47">
        <f>INDEX(Direct_Cost_Splits_Network,MATCH($H13,RIN_Asset_Cat_Network,0),MATCH($AY$4,Direct_Cost_Type,0))*$M13*INDEX(Act_Type_Repex_Splits,MATCH($I13,Act_Type_Repex,0),MATCH(AV$4,Mat_Type,0))*INDEX(Escalators!$I$44:$U$49,MATCH(AV$4,Escalators!$C$44:$C$49,0),MATCH(AV$5,Escalators!$I$43:$U$43,0))</f>
        <v>70.366487491689512</v>
      </c>
      <c r="AW13" s="47">
        <f>INDEX(Direct_Cost_Splits_Network,MATCH($H13,RIN_Asset_Cat_Network,0),MATCH($AY$4,Direct_Cost_Type,0))*$M13*INDEX(Act_Type_Repex_Splits,MATCH($I13,Act_Type_Repex,0),MATCH(AW$4,Mat_Type,0))*INDEX(Escalators!$I$44:$U$49,MATCH(AW$4,Escalators!$C$44:$C$49,0),MATCH(AW$5,Escalators!$I$43:$U$43,0))</f>
        <v>0</v>
      </c>
      <c r="AX13" s="47">
        <f>INDEX(Direct_Cost_Splits_Network,MATCH($H13,RIN_Asset_Cat_Network,0),MATCH($AY$4,Direct_Cost_Type,0))*$M13*INDEX(Act_Type_Repex_Splits,MATCH($I13,Act_Type_Repex,0),MATCH(AX$4,Mat_Type,0))*INDEX(Escalators!$I$44:$U$49,MATCH(AX$4,Escalators!$C$44:$C$49,0),MATCH(AX$5,Escalators!$I$43:$U$43,0))</f>
        <v>281.46594996675805</v>
      </c>
      <c r="AY13" s="47">
        <f t="shared" si="28"/>
        <v>351.83243745844754</v>
      </c>
      <c r="AZ13" s="47">
        <f>INDEX(Direct_Cost_Splits_Network,MATCH($H13,RIN_Asset_Cat_Network,0),MATCH($BE$4,Direct_Cost_Type,0))*$N13*INDEX(Act_Type_Repex_Splits,MATCH($I13,Act_Type_Repex,0),MATCH(AZ$4,Mat_Type,0))*INDEX(Escalators!$I$44:$U$49,MATCH(AZ$4,Escalators!$C$44:$C$49,0),MATCH(AZ$5,Escalators!$I$43:$U$43,0))</f>
        <v>0</v>
      </c>
      <c r="BA13" s="47">
        <f>INDEX(Direct_Cost_Splits_Network,MATCH($H13,RIN_Asset_Cat_Network,0),MATCH($BE$4,Direct_Cost_Type,0))*$N13*INDEX(Act_Type_Repex_Splits,MATCH($I13,Act_Type_Repex,0),MATCH(BA$4,Mat_Type,0))*INDEX(Escalators!$I$44:$U$49,MATCH(BA$4,Escalators!$C$44:$C$49,0),MATCH(BA$5,Escalators!$I$43:$U$43,0))</f>
        <v>0</v>
      </c>
      <c r="BB13" s="47">
        <f>INDEX(Direct_Cost_Splits_Network,MATCH($H13,RIN_Asset_Cat_Network,0),MATCH($BE$4,Direct_Cost_Type,0))*$N13*INDEX(Act_Type_Repex_Splits,MATCH($I13,Act_Type_Repex,0),MATCH(BB$4,Mat_Type,0))*INDEX(Escalators!$I$44:$U$49,MATCH(BB$4,Escalators!$C$44:$C$49,0),MATCH(BB$5,Escalators!$I$43:$U$43,0))</f>
        <v>70.366487491689512</v>
      </c>
      <c r="BC13" s="47">
        <f>INDEX(Direct_Cost_Splits_Network,MATCH($H13,RIN_Asset_Cat_Network,0),MATCH($BE$4,Direct_Cost_Type,0))*$N13*INDEX(Act_Type_Repex_Splits,MATCH($I13,Act_Type_Repex,0),MATCH(BC$4,Mat_Type,0))*INDEX(Escalators!$I$44:$U$49,MATCH(BC$4,Escalators!$C$44:$C$49,0),MATCH(BC$5,Escalators!$I$43:$U$43,0))</f>
        <v>0</v>
      </c>
      <c r="BD13" s="47">
        <f>INDEX(Direct_Cost_Splits_Network,MATCH($H13,RIN_Asset_Cat_Network,0),MATCH($BE$4,Direct_Cost_Type,0))*$N13*INDEX(Act_Type_Repex_Splits,MATCH($I13,Act_Type_Repex,0),MATCH(BD$4,Mat_Type,0))*INDEX(Escalators!$I$44:$U$49,MATCH(BD$4,Escalators!$C$44:$C$49,0),MATCH(BD$5,Escalators!$I$43:$U$43,0))</f>
        <v>281.46594996675805</v>
      </c>
      <c r="BE13" s="47">
        <f t="shared" si="29"/>
        <v>351.83243745844754</v>
      </c>
      <c r="BF13" s="47">
        <f>INDEX(Direct_Cost_Splits_Network,MATCH($H13,RIN_Asset_Cat_Network,0),MATCH($BK$4,Direct_Cost_Type,0))*$O13*INDEX(Act_Type_Repex_Splits,MATCH($I13,Act_Type_Repex,0),MATCH(BF$4,Mat_Type,0))*INDEX(Escalators!$I$44:$U$49,MATCH(BF$4,Escalators!$C$44:$C$49,0),MATCH(BF$5,Escalators!$I$43:$U$43,0))</f>
        <v>0</v>
      </c>
      <c r="BG13" s="47">
        <f>INDEX(Direct_Cost_Splits_Network,MATCH($H13,RIN_Asset_Cat_Network,0),MATCH($BK$4,Direct_Cost_Type,0))*$O13*INDEX(Act_Type_Repex_Splits,MATCH($I13,Act_Type_Repex,0),MATCH(BG$4,Mat_Type,0))*INDEX(Escalators!$I$44:$U$49,MATCH(BG$4,Escalators!$C$44:$C$49,0),MATCH(BG$5,Escalators!$I$43:$U$43,0))</f>
        <v>0</v>
      </c>
      <c r="BH13" s="47">
        <f>INDEX(Direct_Cost_Splits_Network,MATCH($H13,RIN_Asset_Cat_Network,0),MATCH($BK$4,Direct_Cost_Type,0))*$O13*INDEX(Act_Type_Repex_Splits,MATCH($I13,Act_Type_Repex,0),MATCH(BH$4,Mat_Type,0))*INDEX(Escalators!$I$44:$U$49,MATCH(BH$4,Escalators!$C$44:$C$49,0),MATCH(BH$5,Escalators!$I$43:$U$43,0))</f>
        <v>70.366487491689512</v>
      </c>
      <c r="BI13" s="47">
        <f>INDEX(Direct_Cost_Splits_Network,MATCH($H13,RIN_Asset_Cat_Network,0),MATCH($BK$4,Direct_Cost_Type,0))*$O13*INDEX(Act_Type_Repex_Splits,MATCH($I13,Act_Type_Repex,0),MATCH(BI$4,Mat_Type,0))*INDEX(Escalators!$I$44:$U$49,MATCH(BI$4,Escalators!$C$44:$C$49,0),MATCH(BI$5,Escalators!$I$43:$U$43,0))</f>
        <v>0</v>
      </c>
      <c r="BJ13" s="47">
        <f>INDEX(Direct_Cost_Splits_Network,MATCH($H13,RIN_Asset_Cat_Network,0),MATCH($BK$4,Direct_Cost_Type,0))*$O13*INDEX(Act_Type_Repex_Splits,MATCH($I13,Act_Type_Repex,0),MATCH(BJ$4,Mat_Type,0))*INDEX(Escalators!$I$44:$U$49,MATCH(BJ$4,Escalators!$C$44:$C$49,0),MATCH(BJ$5,Escalators!$I$43:$U$43,0))</f>
        <v>281.46594996675805</v>
      </c>
      <c r="BK13" s="47">
        <f t="shared" si="30"/>
        <v>351.83243745844754</v>
      </c>
      <c r="BL13" s="47">
        <f>INDEX(Direct_Cost_Splits_Network,MATCH($H13,RIN_Asset_Cat_Network,0),MATCH($BQ$4,Direct_Cost_Type,0))*$P13*INDEX(Act_Type_Repex_Splits,MATCH($I13,Act_Type_Repex,0),MATCH(BL$4,Mat_Type,0))*INDEX(Escalators!$I$44:$U$49,MATCH(BL$4,Escalators!$C$44:$C$49,0),MATCH(BL$5,Escalators!$I$43:$U$43,0))</f>
        <v>0</v>
      </c>
      <c r="BM13" s="47">
        <f>INDEX(Direct_Cost_Splits_Network,MATCH($H13,RIN_Asset_Cat_Network,0),MATCH($BQ$4,Direct_Cost_Type,0))*$P13*INDEX(Act_Type_Repex_Splits,MATCH($I13,Act_Type_Repex,0),MATCH(BM$4,Mat_Type,0))*INDEX(Escalators!$I$44:$U$49,MATCH(BM$4,Escalators!$C$44:$C$49,0),MATCH(BM$5,Escalators!$I$43:$U$43,0))</f>
        <v>0</v>
      </c>
      <c r="BN13" s="47">
        <f>INDEX(Direct_Cost_Splits_Network,MATCH($H13,RIN_Asset_Cat_Network,0),MATCH($BQ$4,Direct_Cost_Type,0))*$P13*INDEX(Act_Type_Repex_Splits,MATCH($I13,Act_Type_Repex,0),MATCH(BN$4,Mat_Type,0))*INDEX(Escalators!$I$44:$U$49,MATCH(BN$4,Escalators!$C$44:$C$49,0),MATCH(BN$5,Escalators!$I$43:$U$43,0))</f>
        <v>70.366487491689512</v>
      </c>
      <c r="BO13" s="47">
        <f>INDEX(Direct_Cost_Splits_Network,MATCH($H13,RIN_Asset_Cat_Network,0),MATCH($BQ$4,Direct_Cost_Type,0))*$P13*INDEX(Act_Type_Repex_Splits,MATCH($I13,Act_Type_Repex,0),MATCH(BO$4,Mat_Type,0))*INDEX(Escalators!$I$44:$U$49,MATCH(BO$4,Escalators!$C$44:$C$49,0),MATCH(BO$5,Escalators!$I$43:$U$43,0))</f>
        <v>0</v>
      </c>
      <c r="BP13" s="47">
        <f>INDEX(Direct_Cost_Splits_Network,MATCH($H13,RIN_Asset_Cat_Network,0),MATCH($BQ$4,Direct_Cost_Type,0))*$P13*INDEX(Act_Type_Repex_Splits,MATCH($I13,Act_Type_Repex,0),MATCH(BP$4,Mat_Type,0))*INDEX(Escalators!$I$44:$U$49,MATCH(BP$4,Escalators!$C$44:$C$49,0),MATCH(BP$5,Escalators!$I$43:$U$43,0))</f>
        <v>281.46594996675805</v>
      </c>
      <c r="BQ13" s="47">
        <f t="shared" si="31"/>
        <v>351.83243745844754</v>
      </c>
      <c r="BR13" s="47">
        <f>INDEX(Direct_Cost_Splits_Network,MATCH($H13,RIN_Asset_Cat_Network,0),MATCH($BW$4,Direct_Cost_Type,0))*$Q13*INDEX(Act_Type_Repex_Splits,MATCH($I13,Act_Type_Repex,0),MATCH(BR$4,Mat_Type,0))*INDEX(Escalators!$I$44:$U$49,MATCH(BR$4,Escalators!$C$44:$C$49,0),MATCH(BR$5,Escalators!$I$43:$U$43,0))</f>
        <v>0</v>
      </c>
      <c r="BS13" s="47">
        <f>INDEX(Direct_Cost_Splits_Network,MATCH($H13,RIN_Asset_Cat_Network,0),MATCH($BW$4,Direct_Cost_Type,0))*$Q13*INDEX(Act_Type_Repex_Splits,MATCH($I13,Act_Type_Repex,0),MATCH(BS$4,Mat_Type,0))*INDEX(Escalators!$I$44:$U$49,MATCH(BS$4,Escalators!$C$44:$C$49,0),MATCH(BS$5,Escalators!$I$43:$U$43,0))</f>
        <v>0</v>
      </c>
      <c r="BT13" s="47">
        <f>INDEX(Direct_Cost_Splits_Network,MATCH($H13,RIN_Asset_Cat_Network,0),MATCH($BW$4,Direct_Cost_Type,0))*$Q13*INDEX(Act_Type_Repex_Splits,MATCH($I13,Act_Type_Repex,0),MATCH(BT$4,Mat_Type,0))*INDEX(Escalators!$I$44:$U$49,MATCH(BT$4,Escalators!$C$44:$C$49,0),MATCH(BT$5,Escalators!$I$43:$U$43,0))</f>
        <v>70.366487491689512</v>
      </c>
      <c r="BU13" s="47">
        <f>INDEX(Direct_Cost_Splits_Network,MATCH($H13,RIN_Asset_Cat_Network,0),MATCH($BW$4,Direct_Cost_Type,0))*$Q13*INDEX(Act_Type_Repex_Splits,MATCH($I13,Act_Type_Repex,0),MATCH(BU$4,Mat_Type,0))*INDEX(Escalators!$I$44:$U$49,MATCH(BU$4,Escalators!$C$44:$C$49,0),MATCH(BU$5,Escalators!$I$43:$U$43,0))</f>
        <v>0</v>
      </c>
      <c r="BV13" s="47">
        <f>INDEX(Direct_Cost_Splits_Network,MATCH($H13,RIN_Asset_Cat_Network,0),MATCH($BW$4,Direct_Cost_Type,0))*$Q13*INDEX(Act_Type_Repex_Splits,MATCH($I13,Act_Type_Repex,0),MATCH(BV$4,Mat_Type,0))*INDEX(Escalators!$I$44:$U$49,MATCH(BV$4,Escalators!$C$44:$C$49,0),MATCH(BV$5,Escalators!$I$43:$U$43,0))</f>
        <v>281.46594996675805</v>
      </c>
      <c r="BW13" s="47">
        <f t="shared" si="32"/>
        <v>351.83243745844754</v>
      </c>
      <c r="BY13" s="47">
        <f>INDEX(Direct_Cost_Splits_Network,MATCH($H13,RIN_Asset_Cat_Network,0),MATCH($BY$4,Direct_Cost_Type,0))*J13*HLOOKUP(BY$5,Escalators!$I$25:$U$30,6,FALSE)</f>
        <v>0</v>
      </c>
      <c r="BZ13" s="47">
        <f>INDEX(Direct_Cost_Splits_Network,MATCH($H13,RIN_Asset_Cat_Network,0),MATCH($BY$4,Direct_Cost_Type,0))*K13*HLOOKUP(BZ$5,Escalators!$I$25:$U$30,6,FALSE)</f>
        <v>0</v>
      </c>
      <c r="CA13" s="47">
        <f>INDEX(Direct_Cost_Splits_Network,MATCH($H13,RIN_Asset_Cat_Network,0),MATCH($BY$4,Direct_Cost_Type,0))*L13*HLOOKUP(CA$5,Escalators!$I$25:$U$30,6,FALSE)</f>
        <v>0</v>
      </c>
      <c r="CB13" s="47">
        <f>INDEX(Direct_Cost_Splits_Network,MATCH($H13,RIN_Asset_Cat_Network,0),MATCH($BY$4,Direct_Cost_Type,0))*M13*HLOOKUP(CB$5,Escalators!$I$25:$U$30,6,FALSE)</f>
        <v>973.62972318392963</v>
      </c>
      <c r="CC13" s="47">
        <f>INDEX(Direct_Cost_Splits_Network,MATCH($H13,RIN_Asset_Cat_Network,0),MATCH($BY$4,Direct_Cost_Type,0))*N13*HLOOKUP(CC$5,Escalators!$I$25:$U$30,6,FALSE)</f>
        <v>983.61932211705653</v>
      </c>
      <c r="CD13" s="47">
        <f>INDEX(Direct_Cost_Splits_Network,MATCH($H13,RIN_Asset_Cat_Network,0),MATCH($BY$4,Direct_Cost_Type,0))*O13*HLOOKUP(CD$5,Escalators!$I$25:$U$30,6,FALSE)</f>
        <v>994.20688733023644</v>
      </c>
      <c r="CE13" s="47">
        <f>INDEX(Direct_Cost_Splits_Network,MATCH($H13,RIN_Asset_Cat_Network,0),MATCH($BY$4,Direct_Cost_Type,0))*P13*HLOOKUP(CE$5,Escalators!$I$25:$U$30,6,FALSE)</f>
        <v>1003.607371195733</v>
      </c>
      <c r="CF13" s="47">
        <f>INDEX(Direct_Cost_Splits_Network,MATCH($H13,RIN_Asset_Cat_Network,0),MATCH($BY$4,Direct_Cost_Type,0))*Q13*HLOOKUP(CF$5,Escalators!$I$25:$U$30,6,FALSE)</f>
        <v>1012.4391160622554</v>
      </c>
      <c r="CH13" s="83">
        <f t="shared" si="33"/>
        <v>0</v>
      </c>
      <c r="CI13" s="83">
        <f t="shared" si="33"/>
        <v>0</v>
      </c>
      <c r="CJ13" s="83">
        <f t="shared" si="33"/>
        <v>0</v>
      </c>
      <c r="CK13" s="83">
        <f t="shared" si="33"/>
        <v>145.8584903878527</v>
      </c>
      <c r="CL13" s="83">
        <f t="shared" si="33"/>
        <v>145.8584903878527</v>
      </c>
      <c r="CM13" s="83">
        <f t="shared" si="33"/>
        <v>145.8584903878527</v>
      </c>
      <c r="CN13" s="83">
        <f t="shared" si="33"/>
        <v>145.8584903878527</v>
      </c>
      <c r="CO13" s="83">
        <f t="shared" si="33"/>
        <v>145.8584903878527</v>
      </c>
      <c r="CQ13" s="47">
        <f t="shared" si="34"/>
        <v>0</v>
      </c>
      <c r="CR13" s="47">
        <f t="shared" si="35"/>
        <v>0</v>
      </c>
      <c r="CS13" s="47">
        <f t="shared" si="36"/>
        <v>0</v>
      </c>
      <c r="CT13" s="47">
        <f t="shared" si="37"/>
        <v>1636.364163984626</v>
      </c>
      <c r="CU13" s="47">
        <f t="shared" si="38"/>
        <v>1648.0471361392863</v>
      </c>
      <c r="CV13" s="47">
        <f t="shared" si="39"/>
        <v>1660.4294380113911</v>
      </c>
      <c r="CW13" s="47">
        <f t="shared" si="40"/>
        <v>1671.4234320622165</v>
      </c>
      <c r="CX13" s="47">
        <f t="shared" si="41"/>
        <v>1681.7522780993165</v>
      </c>
    </row>
    <row r="14" spans="2:102" x14ac:dyDescent="0.3">
      <c r="B14" s="7"/>
      <c r="C14" s="7" t="s">
        <v>96</v>
      </c>
      <c r="D14" s="7" t="s">
        <v>100</v>
      </c>
      <c r="E14" s="7" t="s">
        <v>44</v>
      </c>
      <c r="F14" s="7" t="s">
        <v>130</v>
      </c>
      <c r="G14" s="7" t="s">
        <v>150</v>
      </c>
      <c r="H14" s="7" t="s">
        <v>5</v>
      </c>
      <c r="I14" s="7" t="s">
        <v>204</v>
      </c>
      <c r="J14" s="45"/>
      <c r="K14" s="45"/>
      <c r="L14" s="45"/>
      <c r="M14" s="45">
        <v>125.87200000000001</v>
      </c>
      <c r="N14" s="45">
        <v>125.87200000000001</v>
      </c>
      <c r="O14" s="45">
        <v>125.87200000000001</v>
      </c>
      <c r="P14" s="45">
        <v>125.87200000000001</v>
      </c>
      <c r="Q14" s="45">
        <v>0</v>
      </c>
      <c r="S14" s="47">
        <f>INDEX(Direct_Cost_Splits_Network,MATCH($H14,RIN_Asset_Cat_Network,0),MATCH($S$4,Direct_Cost_Type,0))*J14*HLOOKUP(S$5,Escalators!$I$25:$U$30,3,FALSE)</f>
        <v>0</v>
      </c>
      <c r="T14" s="47">
        <f>INDEX(Direct_Cost_Splits_Network,MATCH($H14,RIN_Asset_Cat_Network,0),MATCH($S$4,Direct_Cost_Type,0))*K14*HLOOKUP(T$5,Escalators!$I$25:$U$30,3,FALSE)</f>
        <v>0</v>
      </c>
      <c r="U14" s="47">
        <f>INDEX(Direct_Cost_Splits_Network,MATCH($H14,RIN_Asset_Cat_Network,0),MATCH($S$4,Direct_Cost_Type,0))*L14*HLOOKUP(U$5,Escalators!$I$25:$U$30,3,FALSE)</f>
        <v>0</v>
      </c>
      <c r="V14" s="47">
        <f>INDEX(Direct_Cost_Splits_Network,MATCH($H14,RIN_Asset_Cat_Network,0),MATCH($S$4,Direct_Cost_Type,0))*M14*HLOOKUP(V$5,Escalators!$I$25:$U$30,3,FALSE)</f>
        <v>12.984200387629119</v>
      </c>
      <c r="W14" s="47">
        <f>INDEX(Direct_Cost_Splits_Network,MATCH($H14,RIN_Asset_Cat_Network,0),MATCH($S$4,Direct_Cost_Type,0))*N14*HLOOKUP(W$5,Escalators!$I$25:$U$30,3,FALSE)</f>
        <v>13.117420390317209</v>
      </c>
      <c r="X14" s="47">
        <f>INDEX(Direct_Cost_Splits_Network,MATCH($H14,RIN_Asset_Cat_Network,0),MATCH($S$4,Direct_Cost_Type,0))*O14*HLOOKUP(X$5,Escalators!$I$25:$U$30,3,FALSE)</f>
        <v>13.258614794176887</v>
      </c>
      <c r="Y14" s="47">
        <f>INDEX(Direct_Cost_Splits_Network,MATCH($H14,RIN_Asset_Cat_Network,0),MATCH($S$4,Direct_Cost_Type,0))*P14*HLOOKUP(Y$5,Escalators!$I$25:$U$30,3,FALSE)</f>
        <v>13.383978434320424</v>
      </c>
      <c r="Z14" s="47">
        <f>INDEX(Direct_Cost_Splits_Network,MATCH($H14,RIN_Asset_Cat_Network,0),MATCH($S$4,Direct_Cost_Type,0))*Q14*HLOOKUP(Z$5,Escalators!$I$25:$U$30,3,FALSE)</f>
        <v>0</v>
      </c>
      <c r="AB14" s="6">
        <f>INDEX(Direct_Cost_Splits_Network,MATCH($H14,RIN_Asset_Cat_Network,0),MATCH($AG$4,Direct_Cost_Type,0))*$J14*INDEX(Act_Type_Repex_Splits,MATCH($I14,Act_Type_Repex,0),MATCH(AB$4,Mat_Type,0))*INDEX(Escalators!$I$44:$Q$49,MATCH(AB$4,Escalators!$C$44:$C$49,0),MATCH(AB$5,Escalators!$I$43:$Q$43,0))</f>
        <v>0</v>
      </c>
      <c r="AC14" s="6">
        <f>INDEX(Direct_Cost_Splits_Network,MATCH($H14,RIN_Asset_Cat_Network,0),MATCH($AG$4,Direct_Cost_Type,0))*$J14*INDEX(Act_Type_Repex_Splits,MATCH($I14,Act_Type_Repex,0),MATCH(AC$4,Mat_Type,0))*INDEX(Escalators!$I$44:$Q$49,MATCH(AC$4,Escalators!$C$44:$C$49,0),MATCH(AC$5,Escalators!$I$43:$Q$43,0))</f>
        <v>0</v>
      </c>
      <c r="AD14" s="6">
        <f>INDEX(Direct_Cost_Splits_Network,MATCH($H14,RIN_Asset_Cat_Network,0),MATCH($AG$4,Direct_Cost_Type,0))*$J14*INDEX(Act_Type_Repex_Splits,MATCH($I14,Act_Type_Repex,0),MATCH(AD$4,Mat_Type,0))*INDEX(Escalators!$I$44:$Q$49,MATCH(AD$4,Escalators!$C$44:$C$49,0),MATCH(AD$5,Escalators!$I$43:$Q$43,0))</f>
        <v>0</v>
      </c>
      <c r="AE14" s="6">
        <f>INDEX(Direct_Cost_Splits_Network,MATCH($H14,RIN_Asset_Cat_Network,0),MATCH($AG$4,Direct_Cost_Type,0))*$J14*INDEX(Act_Type_Repex_Splits,MATCH($I14,Act_Type_Repex,0),MATCH(AE$4,Mat_Type,0))*INDEX(Escalators!$I$44:$Q$49,MATCH(AE$4,Escalators!$C$44:$C$49,0),MATCH(AE$5,Escalators!$I$43:$Q$43,0))</f>
        <v>0</v>
      </c>
      <c r="AF14" s="6">
        <f>INDEX(Direct_Cost_Splits_Network,MATCH($H14,RIN_Asset_Cat_Network,0),MATCH($AG$4,Direct_Cost_Type,0))*$J14*INDEX(Act_Type_Repex_Splits,MATCH($I14,Act_Type_Repex,0),MATCH(AF$4,Mat_Type,0))*INDEX(Escalators!$I$44:$Q$49,MATCH(AF$4,Escalators!$C$44:$C$49,0),MATCH(AF$5,Escalators!$I$43:$Q$43,0))</f>
        <v>0</v>
      </c>
      <c r="AG14" s="47">
        <f t="shared" si="25"/>
        <v>0</v>
      </c>
      <c r="AH14" s="47">
        <f>INDEX(Direct_Cost_Splits_Network,MATCH($H14,RIN_Asset_Cat_Network,0),MATCH($AY$4,Direct_Cost_Type,0))*$K14*INDEX(Act_Type_Repex_Splits,MATCH($I14,Act_Type_Repex,0),MATCH(AH$4,Mat_Type,0))*INDEX(Escalators!$I$44:$U$49,MATCH(AH$4,Escalators!$C$44:$C$49,0),MATCH(AH$5,Escalators!$I$43:$U$43,0))</f>
        <v>0</v>
      </c>
      <c r="AI14" s="47">
        <f>INDEX(Direct_Cost_Splits_Network,MATCH($H14,RIN_Asset_Cat_Network,0),MATCH($AY$4,Direct_Cost_Type,0))*$K14*INDEX(Act_Type_Repex_Splits,MATCH($I14,Act_Type_Repex,0),MATCH(AI$4,Mat_Type,0))*INDEX(Escalators!$I$44:$U$49,MATCH(AI$4,Escalators!$C$44:$C$49,0),MATCH(AI$5,Escalators!$I$43:$U$43,0))</f>
        <v>0</v>
      </c>
      <c r="AJ14" s="47">
        <f>INDEX(Direct_Cost_Splits_Network,MATCH($H14,RIN_Asset_Cat_Network,0),MATCH($AY$4,Direct_Cost_Type,0))*$K14*INDEX(Act_Type_Repex_Splits,MATCH($I14,Act_Type_Repex,0),MATCH(AJ$4,Mat_Type,0))*INDEX(Escalators!$I$44:$U$49,MATCH(AJ$4,Escalators!$C$44:$C$49,0),MATCH(AJ$5,Escalators!$I$43:$U$43,0))</f>
        <v>0</v>
      </c>
      <c r="AK14" s="47">
        <f>INDEX(Direct_Cost_Splits_Network,MATCH($H14,RIN_Asset_Cat_Network,0),MATCH($AY$4,Direct_Cost_Type,0))*$K14*INDEX(Act_Type_Repex_Splits,MATCH($I14,Act_Type_Repex,0),MATCH(AK$4,Mat_Type,0))*INDEX(Escalators!$I$44:$U$49,MATCH(AK$4,Escalators!$C$44:$C$49,0),MATCH(AK$5,Escalators!$I$43:$U$43,0))</f>
        <v>0</v>
      </c>
      <c r="AL14" s="47">
        <f>INDEX(Direct_Cost_Splits_Network,MATCH($H14,RIN_Asset_Cat_Network,0),MATCH($AY$4,Direct_Cost_Type,0))*$K14*INDEX(Act_Type_Repex_Splits,MATCH($I14,Act_Type_Repex,0),MATCH(AL$4,Mat_Type,0))*INDEX(Escalators!$I$44:$U$49,MATCH(AL$4,Escalators!$C$44:$C$49,0),MATCH(AL$5,Escalators!$I$43:$U$43,0))</f>
        <v>0</v>
      </c>
      <c r="AM14" s="47">
        <f t="shared" si="26"/>
        <v>0</v>
      </c>
      <c r="AN14" s="47">
        <f>INDEX(Direct_Cost_Splits_Network,MATCH($H14,RIN_Asset_Cat_Network,0),MATCH($AY$4,Direct_Cost_Type,0))*$L14*INDEX(Act_Type_Repex_Splits,MATCH($I14,Act_Type_Repex,0),MATCH(AN$4,Mat_Type,0))*INDEX(Escalators!$I$44:$U$49,MATCH(AN$4,Escalators!$C$44:$C$49,0),MATCH(AN$5,Escalators!$I$43:$U$43,0))</f>
        <v>0</v>
      </c>
      <c r="AO14" s="47">
        <f>INDEX(Direct_Cost_Splits_Network,MATCH($H14,RIN_Asset_Cat_Network,0),MATCH($AY$4,Direct_Cost_Type,0))*$L14*INDEX(Act_Type_Repex_Splits,MATCH($I14,Act_Type_Repex,0),MATCH(AO$4,Mat_Type,0))*INDEX(Escalators!$I$44:$U$49,MATCH(AO$4,Escalators!$C$44:$C$49,0),MATCH(AO$5,Escalators!$I$43:$U$43,0))</f>
        <v>0</v>
      </c>
      <c r="AP14" s="47">
        <f>INDEX(Direct_Cost_Splits_Network,MATCH($H14,RIN_Asset_Cat_Network,0),MATCH($AY$4,Direct_Cost_Type,0))*$L14*INDEX(Act_Type_Repex_Splits,MATCH($I14,Act_Type_Repex,0),MATCH(AP$4,Mat_Type,0))*INDEX(Escalators!$I$44:$U$49,MATCH(AP$4,Escalators!$C$44:$C$49,0),MATCH(AP$5,Escalators!$I$43:$U$43,0))</f>
        <v>0</v>
      </c>
      <c r="AQ14" s="47">
        <f>INDEX(Direct_Cost_Splits_Network,MATCH($H14,RIN_Asset_Cat_Network,0),MATCH($AY$4,Direct_Cost_Type,0))*$L14*INDEX(Act_Type_Repex_Splits,MATCH($I14,Act_Type_Repex,0),MATCH(AQ$4,Mat_Type,0))*INDEX(Escalators!$I$44:$U$49,MATCH(AQ$4,Escalators!$C$44:$C$49,0),MATCH(AQ$5,Escalators!$I$43:$U$43,0))</f>
        <v>0</v>
      </c>
      <c r="AR14" s="47">
        <f>INDEX(Direct_Cost_Splits_Network,MATCH($H14,RIN_Asset_Cat_Network,0),MATCH($AY$4,Direct_Cost_Type,0))*$L14*INDEX(Act_Type_Repex_Splits,MATCH($I14,Act_Type_Repex,0),MATCH(AR$4,Mat_Type,0))*INDEX(Escalators!$I$44:$U$49,MATCH(AR$4,Escalators!$C$44:$C$49,0),MATCH(AR$5,Escalators!$I$43:$U$43,0))</f>
        <v>0</v>
      </c>
      <c r="AS14" s="47">
        <f t="shared" si="27"/>
        <v>0</v>
      </c>
      <c r="AT14" s="47">
        <f>INDEX(Direct_Cost_Splits_Network,MATCH($H14,RIN_Asset_Cat_Network,0),MATCH($AY$4,Direct_Cost_Type,0))*$M14*INDEX(Act_Type_Repex_Splits,MATCH($I14,Act_Type_Repex,0),MATCH(AT$4,Mat_Type,0))*INDEX(Escalators!$I$44:$U$49,MATCH(AT$4,Escalators!$C$44:$C$49,0),MATCH(AT$5,Escalators!$I$43:$U$43,0))</f>
        <v>0</v>
      </c>
      <c r="AU14" s="47">
        <f>INDEX(Direct_Cost_Splits_Network,MATCH($H14,RIN_Asset_Cat_Network,0),MATCH($AY$4,Direct_Cost_Type,0))*$M14*INDEX(Act_Type_Repex_Splits,MATCH($I14,Act_Type_Repex,0),MATCH(AU$4,Mat_Type,0))*INDEX(Escalators!$I$44:$U$49,MATCH(AU$4,Escalators!$C$44:$C$49,0),MATCH(AU$5,Escalators!$I$43:$U$43,0))</f>
        <v>0</v>
      </c>
      <c r="AV14" s="47">
        <f>INDEX(Direct_Cost_Splits_Network,MATCH($H14,RIN_Asset_Cat_Network,0),MATCH($AY$4,Direct_Cost_Type,0))*$M14*INDEX(Act_Type_Repex_Splits,MATCH($I14,Act_Type_Repex,0),MATCH(AV$4,Mat_Type,0))*INDEX(Escalators!$I$44:$U$49,MATCH(AV$4,Escalators!$C$44:$C$49,0),MATCH(AV$5,Escalators!$I$43:$U$43,0))</f>
        <v>5.5358284479690543</v>
      </c>
      <c r="AW14" s="47">
        <f>INDEX(Direct_Cost_Splits_Network,MATCH($H14,RIN_Asset_Cat_Network,0),MATCH($AY$4,Direct_Cost_Type,0))*$M14*INDEX(Act_Type_Repex_Splits,MATCH($I14,Act_Type_Repex,0),MATCH(AW$4,Mat_Type,0))*INDEX(Escalators!$I$44:$U$49,MATCH(AW$4,Escalators!$C$44:$C$49,0),MATCH(AW$5,Escalators!$I$43:$U$43,0))</f>
        <v>0</v>
      </c>
      <c r="AX14" s="47">
        <f>INDEX(Direct_Cost_Splits_Network,MATCH($H14,RIN_Asset_Cat_Network,0),MATCH($AY$4,Direct_Cost_Type,0))*$M14*INDEX(Act_Type_Repex_Splits,MATCH($I14,Act_Type_Repex,0),MATCH(AX$4,Mat_Type,0))*INDEX(Escalators!$I$44:$U$49,MATCH(AX$4,Escalators!$C$44:$C$49,0),MATCH(AX$5,Escalators!$I$43:$U$43,0))</f>
        <v>22.143313791876217</v>
      </c>
      <c r="AY14" s="47">
        <f t="shared" si="28"/>
        <v>27.67914223984527</v>
      </c>
      <c r="AZ14" s="47">
        <f>INDEX(Direct_Cost_Splits_Network,MATCH($H14,RIN_Asset_Cat_Network,0),MATCH($BE$4,Direct_Cost_Type,0))*$N14*INDEX(Act_Type_Repex_Splits,MATCH($I14,Act_Type_Repex,0),MATCH(AZ$4,Mat_Type,0))*INDEX(Escalators!$I$44:$U$49,MATCH(AZ$4,Escalators!$C$44:$C$49,0),MATCH(AZ$5,Escalators!$I$43:$U$43,0))</f>
        <v>0</v>
      </c>
      <c r="BA14" s="47">
        <f>INDEX(Direct_Cost_Splits_Network,MATCH($H14,RIN_Asset_Cat_Network,0),MATCH($BE$4,Direct_Cost_Type,0))*$N14*INDEX(Act_Type_Repex_Splits,MATCH($I14,Act_Type_Repex,0),MATCH(BA$4,Mat_Type,0))*INDEX(Escalators!$I$44:$U$49,MATCH(BA$4,Escalators!$C$44:$C$49,0),MATCH(BA$5,Escalators!$I$43:$U$43,0))</f>
        <v>0</v>
      </c>
      <c r="BB14" s="47">
        <f>INDEX(Direct_Cost_Splits_Network,MATCH($H14,RIN_Asset_Cat_Network,0),MATCH($BE$4,Direct_Cost_Type,0))*$N14*INDEX(Act_Type_Repex_Splits,MATCH($I14,Act_Type_Repex,0),MATCH(BB$4,Mat_Type,0))*INDEX(Escalators!$I$44:$U$49,MATCH(BB$4,Escalators!$C$44:$C$49,0),MATCH(BB$5,Escalators!$I$43:$U$43,0))</f>
        <v>5.5358284479690543</v>
      </c>
      <c r="BC14" s="47">
        <f>INDEX(Direct_Cost_Splits_Network,MATCH($H14,RIN_Asset_Cat_Network,0),MATCH($BE$4,Direct_Cost_Type,0))*$N14*INDEX(Act_Type_Repex_Splits,MATCH($I14,Act_Type_Repex,0),MATCH(BC$4,Mat_Type,0))*INDEX(Escalators!$I$44:$U$49,MATCH(BC$4,Escalators!$C$44:$C$49,0),MATCH(BC$5,Escalators!$I$43:$U$43,0))</f>
        <v>0</v>
      </c>
      <c r="BD14" s="47">
        <f>INDEX(Direct_Cost_Splits_Network,MATCH($H14,RIN_Asset_Cat_Network,0),MATCH($BE$4,Direct_Cost_Type,0))*$N14*INDEX(Act_Type_Repex_Splits,MATCH($I14,Act_Type_Repex,0),MATCH(BD$4,Mat_Type,0))*INDEX(Escalators!$I$44:$U$49,MATCH(BD$4,Escalators!$C$44:$C$49,0),MATCH(BD$5,Escalators!$I$43:$U$43,0))</f>
        <v>22.143313791876217</v>
      </c>
      <c r="BE14" s="47">
        <f t="shared" si="29"/>
        <v>27.67914223984527</v>
      </c>
      <c r="BF14" s="47">
        <f>INDEX(Direct_Cost_Splits_Network,MATCH($H14,RIN_Asset_Cat_Network,0),MATCH($BK$4,Direct_Cost_Type,0))*$O14*INDEX(Act_Type_Repex_Splits,MATCH($I14,Act_Type_Repex,0),MATCH(BF$4,Mat_Type,0))*INDEX(Escalators!$I$44:$U$49,MATCH(BF$4,Escalators!$C$44:$C$49,0),MATCH(BF$5,Escalators!$I$43:$U$43,0))</f>
        <v>0</v>
      </c>
      <c r="BG14" s="47">
        <f>INDEX(Direct_Cost_Splits_Network,MATCH($H14,RIN_Asset_Cat_Network,0),MATCH($BK$4,Direct_Cost_Type,0))*$O14*INDEX(Act_Type_Repex_Splits,MATCH($I14,Act_Type_Repex,0),MATCH(BG$4,Mat_Type,0))*INDEX(Escalators!$I$44:$U$49,MATCH(BG$4,Escalators!$C$44:$C$49,0),MATCH(BG$5,Escalators!$I$43:$U$43,0))</f>
        <v>0</v>
      </c>
      <c r="BH14" s="47">
        <f>INDEX(Direct_Cost_Splits_Network,MATCH($H14,RIN_Asset_Cat_Network,0),MATCH($BK$4,Direct_Cost_Type,0))*$O14*INDEX(Act_Type_Repex_Splits,MATCH($I14,Act_Type_Repex,0),MATCH(BH$4,Mat_Type,0))*INDEX(Escalators!$I$44:$U$49,MATCH(BH$4,Escalators!$C$44:$C$49,0),MATCH(BH$5,Escalators!$I$43:$U$43,0))</f>
        <v>5.5358284479690543</v>
      </c>
      <c r="BI14" s="47">
        <f>INDEX(Direct_Cost_Splits_Network,MATCH($H14,RIN_Asset_Cat_Network,0),MATCH($BK$4,Direct_Cost_Type,0))*$O14*INDEX(Act_Type_Repex_Splits,MATCH($I14,Act_Type_Repex,0),MATCH(BI$4,Mat_Type,0))*INDEX(Escalators!$I$44:$U$49,MATCH(BI$4,Escalators!$C$44:$C$49,0),MATCH(BI$5,Escalators!$I$43:$U$43,0))</f>
        <v>0</v>
      </c>
      <c r="BJ14" s="47">
        <f>INDEX(Direct_Cost_Splits_Network,MATCH($H14,RIN_Asset_Cat_Network,0),MATCH($BK$4,Direct_Cost_Type,0))*$O14*INDEX(Act_Type_Repex_Splits,MATCH($I14,Act_Type_Repex,0),MATCH(BJ$4,Mat_Type,0))*INDEX(Escalators!$I$44:$U$49,MATCH(BJ$4,Escalators!$C$44:$C$49,0),MATCH(BJ$5,Escalators!$I$43:$U$43,0))</f>
        <v>22.143313791876217</v>
      </c>
      <c r="BK14" s="47">
        <f t="shared" si="30"/>
        <v>27.67914223984527</v>
      </c>
      <c r="BL14" s="47">
        <f>INDEX(Direct_Cost_Splits_Network,MATCH($H14,RIN_Asset_Cat_Network,0),MATCH($BQ$4,Direct_Cost_Type,0))*$P14*INDEX(Act_Type_Repex_Splits,MATCH($I14,Act_Type_Repex,0),MATCH(BL$4,Mat_Type,0))*INDEX(Escalators!$I$44:$U$49,MATCH(BL$4,Escalators!$C$44:$C$49,0),MATCH(BL$5,Escalators!$I$43:$U$43,0))</f>
        <v>0</v>
      </c>
      <c r="BM14" s="47">
        <f>INDEX(Direct_Cost_Splits_Network,MATCH($H14,RIN_Asset_Cat_Network,0),MATCH($BQ$4,Direct_Cost_Type,0))*$P14*INDEX(Act_Type_Repex_Splits,MATCH($I14,Act_Type_Repex,0),MATCH(BM$4,Mat_Type,0))*INDEX(Escalators!$I$44:$U$49,MATCH(BM$4,Escalators!$C$44:$C$49,0),MATCH(BM$5,Escalators!$I$43:$U$43,0))</f>
        <v>0</v>
      </c>
      <c r="BN14" s="47">
        <f>INDEX(Direct_Cost_Splits_Network,MATCH($H14,RIN_Asset_Cat_Network,0),MATCH($BQ$4,Direct_Cost_Type,0))*$P14*INDEX(Act_Type_Repex_Splits,MATCH($I14,Act_Type_Repex,0),MATCH(BN$4,Mat_Type,0))*INDEX(Escalators!$I$44:$U$49,MATCH(BN$4,Escalators!$C$44:$C$49,0),MATCH(BN$5,Escalators!$I$43:$U$43,0))</f>
        <v>5.5358284479690543</v>
      </c>
      <c r="BO14" s="47">
        <f>INDEX(Direct_Cost_Splits_Network,MATCH($H14,RIN_Asset_Cat_Network,0),MATCH($BQ$4,Direct_Cost_Type,0))*$P14*INDEX(Act_Type_Repex_Splits,MATCH($I14,Act_Type_Repex,0),MATCH(BO$4,Mat_Type,0))*INDEX(Escalators!$I$44:$U$49,MATCH(BO$4,Escalators!$C$44:$C$49,0),MATCH(BO$5,Escalators!$I$43:$U$43,0))</f>
        <v>0</v>
      </c>
      <c r="BP14" s="47">
        <f>INDEX(Direct_Cost_Splits_Network,MATCH($H14,RIN_Asset_Cat_Network,0),MATCH($BQ$4,Direct_Cost_Type,0))*$P14*INDEX(Act_Type_Repex_Splits,MATCH($I14,Act_Type_Repex,0),MATCH(BP$4,Mat_Type,0))*INDEX(Escalators!$I$44:$U$49,MATCH(BP$4,Escalators!$C$44:$C$49,0),MATCH(BP$5,Escalators!$I$43:$U$43,0))</f>
        <v>22.143313791876217</v>
      </c>
      <c r="BQ14" s="47">
        <f t="shared" si="31"/>
        <v>27.67914223984527</v>
      </c>
      <c r="BR14" s="47">
        <f>INDEX(Direct_Cost_Splits_Network,MATCH($H14,RIN_Asset_Cat_Network,0),MATCH($BW$4,Direct_Cost_Type,0))*$Q14*INDEX(Act_Type_Repex_Splits,MATCH($I14,Act_Type_Repex,0),MATCH(BR$4,Mat_Type,0))*INDEX(Escalators!$I$44:$U$49,MATCH(BR$4,Escalators!$C$44:$C$49,0),MATCH(BR$5,Escalators!$I$43:$U$43,0))</f>
        <v>0</v>
      </c>
      <c r="BS14" s="47">
        <f>INDEX(Direct_Cost_Splits_Network,MATCH($H14,RIN_Asset_Cat_Network,0),MATCH($BW$4,Direct_Cost_Type,0))*$Q14*INDEX(Act_Type_Repex_Splits,MATCH($I14,Act_Type_Repex,0),MATCH(BS$4,Mat_Type,0))*INDEX(Escalators!$I$44:$U$49,MATCH(BS$4,Escalators!$C$44:$C$49,0),MATCH(BS$5,Escalators!$I$43:$U$43,0))</f>
        <v>0</v>
      </c>
      <c r="BT14" s="47">
        <f>INDEX(Direct_Cost_Splits_Network,MATCH($H14,RIN_Asset_Cat_Network,0),MATCH($BW$4,Direct_Cost_Type,0))*$Q14*INDEX(Act_Type_Repex_Splits,MATCH($I14,Act_Type_Repex,0),MATCH(BT$4,Mat_Type,0))*INDEX(Escalators!$I$44:$U$49,MATCH(BT$4,Escalators!$C$44:$C$49,0),MATCH(BT$5,Escalators!$I$43:$U$43,0))</f>
        <v>0</v>
      </c>
      <c r="BU14" s="47">
        <f>INDEX(Direct_Cost_Splits_Network,MATCH($H14,RIN_Asset_Cat_Network,0),MATCH($BW$4,Direct_Cost_Type,0))*$Q14*INDEX(Act_Type_Repex_Splits,MATCH($I14,Act_Type_Repex,0),MATCH(BU$4,Mat_Type,0))*INDEX(Escalators!$I$44:$U$49,MATCH(BU$4,Escalators!$C$44:$C$49,0),MATCH(BU$5,Escalators!$I$43:$U$43,0))</f>
        <v>0</v>
      </c>
      <c r="BV14" s="47">
        <f>INDEX(Direct_Cost_Splits_Network,MATCH($H14,RIN_Asset_Cat_Network,0),MATCH($BW$4,Direct_Cost_Type,0))*$Q14*INDEX(Act_Type_Repex_Splits,MATCH($I14,Act_Type_Repex,0),MATCH(BV$4,Mat_Type,0))*INDEX(Escalators!$I$44:$U$49,MATCH(BV$4,Escalators!$C$44:$C$49,0),MATCH(BV$5,Escalators!$I$43:$U$43,0))</f>
        <v>0</v>
      </c>
      <c r="BW14" s="47">
        <f t="shared" si="32"/>
        <v>0</v>
      </c>
      <c r="BY14" s="47">
        <f>INDEX(Direct_Cost_Splits_Network,MATCH($H14,RIN_Asset_Cat_Network,0),MATCH($BY$4,Direct_Cost_Type,0))*J14*HLOOKUP(BY$5,Escalators!$I$25:$U$30,6,FALSE)</f>
        <v>0</v>
      </c>
      <c r="BZ14" s="47">
        <f>INDEX(Direct_Cost_Splits_Network,MATCH($H14,RIN_Asset_Cat_Network,0),MATCH($BY$4,Direct_Cost_Type,0))*K14*HLOOKUP(BZ$5,Escalators!$I$25:$U$30,6,FALSE)</f>
        <v>0</v>
      </c>
      <c r="CA14" s="47">
        <f>INDEX(Direct_Cost_Splits_Network,MATCH($H14,RIN_Asset_Cat_Network,0),MATCH($BY$4,Direct_Cost_Type,0))*L14*HLOOKUP(CA$5,Escalators!$I$25:$U$30,6,FALSE)</f>
        <v>0</v>
      </c>
      <c r="CB14" s="47">
        <f>INDEX(Direct_Cost_Splits_Network,MATCH($H14,RIN_Asset_Cat_Network,0),MATCH($BY$4,Direct_Cost_Type,0))*M14*HLOOKUP(CB$5,Escalators!$I$25:$U$30,6,FALSE)</f>
        <v>76.596790766718172</v>
      </c>
      <c r="CC14" s="47">
        <f>INDEX(Direct_Cost_Splits_Network,MATCH($H14,RIN_Asset_Cat_Network,0),MATCH($BY$4,Direct_Cost_Type,0))*N14*HLOOKUP(CC$5,Escalators!$I$25:$U$30,6,FALSE)</f>
        <v>77.382686267958533</v>
      </c>
      <c r="CD14" s="47">
        <f>INDEX(Direct_Cost_Splits_Network,MATCH($H14,RIN_Asset_Cat_Network,0),MATCH($BY$4,Direct_Cost_Type,0))*O14*HLOOKUP(CD$5,Escalators!$I$25:$U$30,6,FALSE)</f>
        <v>78.215624599700206</v>
      </c>
      <c r="CE14" s="47">
        <f>INDEX(Direct_Cost_Splits_Network,MATCH($H14,RIN_Asset_Cat_Network,0),MATCH($BY$4,Direct_Cost_Type,0))*P14*HLOOKUP(CE$5,Escalators!$I$25:$U$30,6,FALSE)</f>
        <v>78.955173607506453</v>
      </c>
      <c r="CF14" s="47">
        <f>INDEX(Direct_Cost_Splits_Network,MATCH($H14,RIN_Asset_Cat_Network,0),MATCH($BY$4,Direct_Cost_Type,0))*Q14*HLOOKUP(CF$5,Escalators!$I$25:$U$30,6,FALSE)</f>
        <v>0</v>
      </c>
      <c r="CH14" s="83">
        <f t="shared" si="33"/>
        <v>0</v>
      </c>
      <c r="CI14" s="83">
        <f t="shared" si="33"/>
        <v>0</v>
      </c>
      <c r="CJ14" s="83">
        <f t="shared" si="33"/>
        <v>0</v>
      </c>
      <c r="CK14" s="83">
        <f t="shared" si="33"/>
        <v>11.474888249356736</v>
      </c>
      <c r="CL14" s="83">
        <f t="shared" si="33"/>
        <v>11.474888249356736</v>
      </c>
      <c r="CM14" s="83">
        <f t="shared" si="33"/>
        <v>11.474888249356736</v>
      </c>
      <c r="CN14" s="83">
        <f t="shared" si="33"/>
        <v>11.474888249356736</v>
      </c>
      <c r="CO14" s="83">
        <f t="shared" si="33"/>
        <v>0</v>
      </c>
      <c r="CQ14" s="47">
        <f t="shared" si="34"/>
        <v>0</v>
      </c>
      <c r="CR14" s="47">
        <f t="shared" si="35"/>
        <v>0</v>
      </c>
      <c r="CS14" s="47">
        <f t="shared" si="36"/>
        <v>0</v>
      </c>
      <c r="CT14" s="47">
        <f t="shared" si="37"/>
        <v>128.73502164354929</v>
      </c>
      <c r="CU14" s="47">
        <f t="shared" si="38"/>
        <v>129.65413714747774</v>
      </c>
      <c r="CV14" s="47">
        <f t="shared" si="39"/>
        <v>130.6282698830791</v>
      </c>
      <c r="CW14" s="47">
        <f t="shared" si="40"/>
        <v>131.49318253102888</v>
      </c>
      <c r="CX14" s="47">
        <f t="shared" si="41"/>
        <v>0</v>
      </c>
    </row>
    <row r="15" spans="2:102" x14ac:dyDescent="0.3">
      <c r="B15" s="7"/>
      <c r="C15" s="7" t="s">
        <v>443</v>
      </c>
      <c r="D15" s="7" t="s">
        <v>100</v>
      </c>
      <c r="E15" s="7" t="s">
        <v>44</v>
      </c>
      <c r="F15" s="7" t="s">
        <v>130</v>
      </c>
      <c r="G15" s="7" t="s">
        <v>150</v>
      </c>
      <c r="H15" s="7" t="s">
        <v>5</v>
      </c>
      <c r="I15" s="7" t="s">
        <v>204</v>
      </c>
      <c r="J15" s="45"/>
      <c r="K15" s="45"/>
      <c r="L15" s="45"/>
      <c r="M15" s="45">
        <v>283.21199999999999</v>
      </c>
      <c r="N15" s="45">
        <v>283.21199999999999</v>
      </c>
      <c r="O15" s="45">
        <v>283.21199999999999</v>
      </c>
      <c r="P15" s="45">
        <v>283.21199999999999</v>
      </c>
      <c r="Q15" s="45">
        <v>0</v>
      </c>
      <c r="S15" s="47">
        <f>INDEX(Direct_Cost_Splits_Network,MATCH($H15,RIN_Asset_Cat_Network,0),MATCH($S$4,Direct_Cost_Type,0))*J15*HLOOKUP(S$5,Escalators!$I$25:$U$30,3,FALSE)</f>
        <v>0</v>
      </c>
      <c r="T15" s="47">
        <f>INDEX(Direct_Cost_Splits_Network,MATCH($H15,RIN_Asset_Cat_Network,0),MATCH($S$4,Direct_Cost_Type,0))*K15*HLOOKUP(T$5,Escalators!$I$25:$U$30,3,FALSE)</f>
        <v>0</v>
      </c>
      <c r="U15" s="47">
        <f>INDEX(Direct_Cost_Splits_Network,MATCH($H15,RIN_Asset_Cat_Network,0),MATCH($S$4,Direct_Cost_Type,0))*L15*HLOOKUP(U$5,Escalators!$I$25:$U$30,3,FALSE)</f>
        <v>0</v>
      </c>
      <c r="V15" s="47">
        <f>INDEX(Direct_Cost_Splits_Network,MATCH($H15,RIN_Asset_Cat_Network,0),MATCH($S$4,Direct_Cost_Type,0))*M15*HLOOKUP(V$5,Escalators!$I$25:$U$30,3,FALSE)</f>
        <v>29.214450872165511</v>
      </c>
      <c r="W15" s="47">
        <f>INDEX(Direct_Cost_Splits_Network,MATCH($H15,RIN_Asset_Cat_Network,0),MATCH($S$4,Direct_Cost_Type,0))*N15*HLOOKUP(W$5,Escalators!$I$25:$U$30,3,FALSE)</f>
        <v>29.514195878213712</v>
      </c>
      <c r="X15" s="47">
        <f>INDEX(Direct_Cost_Splits_Network,MATCH($H15,RIN_Asset_Cat_Network,0),MATCH($S$4,Direct_Cost_Type,0))*O15*HLOOKUP(X$5,Escalators!$I$25:$U$30,3,FALSE)</f>
        <v>29.831883286897988</v>
      </c>
      <c r="Y15" s="47">
        <f>INDEX(Direct_Cost_Splits_Network,MATCH($H15,RIN_Asset_Cat_Network,0),MATCH($S$4,Direct_Cost_Type,0))*P15*HLOOKUP(Y$5,Escalators!$I$25:$U$30,3,FALSE)</f>
        <v>30.113951477220944</v>
      </c>
      <c r="Z15" s="47">
        <f>INDEX(Direct_Cost_Splits_Network,MATCH($H15,RIN_Asset_Cat_Network,0),MATCH($S$4,Direct_Cost_Type,0))*Q15*HLOOKUP(Z$5,Escalators!$I$25:$U$30,3,FALSE)</f>
        <v>0</v>
      </c>
      <c r="AB15" s="6">
        <f>INDEX(Direct_Cost_Splits_Network,MATCH($H15,RIN_Asset_Cat_Network,0),MATCH($AG$4,Direct_Cost_Type,0))*$J15*INDEX(Act_Type_Repex_Splits,MATCH($I15,Act_Type_Repex,0),MATCH(AB$4,Mat_Type,0))*INDEX(Escalators!$I$44:$Q$49,MATCH(AB$4,Escalators!$C$44:$C$49,0),MATCH(AB$5,Escalators!$I$43:$Q$43,0))</f>
        <v>0</v>
      </c>
      <c r="AC15" s="6">
        <f>INDEX(Direct_Cost_Splits_Network,MATCH($H15,RIN_Asset_Cat_Network,0),MATCH($AG$4,Direct_Cost_Type,0))*$J15*INDEX(Act_Type_Repex_Splits,MATCH($I15,Act_Type_Repex,0),MATCH(AC$4,Mat_Type,0))*INDEX(Escalators!$I$44:$Q$49,MATCH(AC$4,Escalators!$C$44:$C$49,0),MATCH(AC$5,Escalators!$I$43:$Q$43,0))</f>
        <v>0</v>
      </c>
      <c r="AD15" s="6">
        <f>INDEX(Direct_Cost_Splits_Network,MATCH($H15,RIN_Asset_Cat_Network,0),MATCH($AG$4,Direct_Cost_Type,0))*$J15*INDEX(Act_Type_Repex_Splits,MATCH($I15,Act_Type_Repex,0),MATCH(AD$4,Mat_Type,0))*INDEX(Escalators!$I$44:$Q$49,MATCH(AD$4,Escalators!$C$44:$C$49,0),MATCH(AD$5,Escalators!$I$43:$Q$43,0))</f>
        <v>0</v>
      </c>
      <c r="AE15" s="6">
        <f>INDEX(Direct_Cost_Splits_Network,MATCH($H15,RIN_Asset_Cat_Network,0),MATCH($AG$4,Direct_Cost_Type,0))*$J15*INDEX(Act_Type_Repex_Splits,MATCH($I15,Act_Type_Repex,0),MATCH(AE$4,Mat_Type,0))*INDEX(Escalators!$I$44:$Q$49,MATCH(AE$4,Escalators!$C$44:$C$49,0),MATCH(AE$5,Escalators!$I$43:$Q$43,0))</f>
        <v>0</v>
      </c>
      <c r="AF15" s="6">
        <f>INDEX(Direct_Cost_Splits_Network,MATCH($H15,RIN_Asset_Cat_Network,0),MATCH($AG$4,Direct_Cost_Type,0))*$J15*INDEX(Act_Type_Repex_Splits,MATCH($I15,Act_Type_Repex,0),MATCH(AF$4,Mat_Type,0))*INDEX(Escalators!$I$44:$Q$49,MATCH(AF$4,Escalators!$C$44:$C$49,0),MATCH(AF$5,Escalators!$I$43:$Q$43,0))</f>
        <v>0</v>
      </c>
      <c r="AG15" s="47">
        <f t="shared" si="25"/>
        <v>0</v>
      </c>
      <c r="AH15" s="47">
        <f>INDEX(Direct_Cost_Splits_Network,MATCH($H15,RIN_Asset_Cat_Network,0),MATCH($AY$4,Direct_Cost_Type,0))*$K15*INDEX(Act_Type_Repex_Splits,MATCH($I15,Act_Type_Repex,0),MATCH(AH$4,Mat_Type,0))*INDEX(Escalators!$I$44:$U$49,MATCH(AH$4,Escalators!$C$44:$C$49,0),MATCH(AH$5,Escalators!$I$43:$U$43,0))</f>
        <v>0</v>
      </c>
      <c r="AI15" s="47">
        <f>INDEX(Direct_Cost_Splits_Network,MATCH($H15,RIN_Asset_Cat_Network,0),MATCH($AY$4,Direct_Cost_Type,0))*$K15*INDEX(Act_Type_Repex_Splits,MATCH($I15,Act_Type_Repex,0),MATCH(AI$4,Mat_Type,0))*INDEX(Escalators!$I$44:$U$49,MATCH(AI$4,Escalators!$C$44:$C$49,0),MATCH(AI$5,Escalators!$I$43:$U$43,0))</f>
        <v>0</v>
      </c>
      <c r="AJ15" s="47">
        <f>INDEX(Direct_Cost_Splits_Network,MATCH($H15,RIN_Asset_Cat_Network,0),MATCH($AY$4,Direct_Cost_Type,0))*$K15*INDEX(Act_Type_Repex_Splits,MATCH($I15,Act_Type_Repex,0),MATCH(AJ$4,Mat_Type,0))*INDEX(Escalators!$I$44:$U$49,MATCH(AJ$4,Escalators!$C$44:$C$49,0),MATCH(AJ$5,Escalators!$I$43:$U$43,0))</f>
        <v>0</v>
      </c>
      <c r="AK15" s="47">
        <f>INDEX(Direct_Cost_Splits_Network,MATCH($H15,RIN_Asset_Cat_Network,0),MATCH($AY$4,Direct_Cost_Type,0))*$K15*INDEX(Act_Type_Repex_Splits,MATCH($I15,Act_Type_Repex,0),MATCH(AK$4,Mat_Type,0))*INDEX(Escalators!$I$44:$U$49,MATCH(AK$4,Escalators!$C$44:$C$49,0),MATCH(AK$5,Escalators!$I$43:$U$43,0))</f>
        <v>0</v>
      </c>
      <c r="AL15" s="47">
        <f>INDEX(Direct_Cost_Splits_Network,MATCH($H15,RIN_Asset_Cat_Network,0),MATCH($AY$4,Direct_Cost_Type,0))*$K15*INDEX(Act_Type_Repex_Splits,MATCH($I15,Act_Type_Repex,0),MATCH(AL$4,Mat_Type,0))*INDEX(Escalators!$I$44:$U$49,MATCH(AL$4,Escalators!$C$44:$C$49,0),MATCH(AL$5,Escalators!$I$43:$U$43,0))</f>
        <v>0</v>
      </c>
      <c r="AM15" s="47">
        <f t="shared" si="26"/>
        <v>0</v>
      </c>
      <c r="AN15" s="47">
        <f>INDEX(Direct_Cost_Splits_Network,MATCH($H15,RIN_Asset_Cat_Network,0),MATCH($AY$4,Direct_Cost_Type,0))*$L15*INDEX(Act_Type_Repex_Splits,MATCH($I15,Act_Type_Repex,0),MATCH(AN$4,Mat_Type,0))*INDEX(Escalators!$I$44:$U$49,MATCH(AN$4,Escalators!$C$44:$C$49,0),MATCH(AN$5,Escalators!$I$43:$U$43,0))</f>
        <v>0</v>
      </c>
      <c r="AO15" s="47">
        <f>INDEX(Direct_Cost_Splits_Network,MATCH($H15,RIN_Asset_Cat_Network,0),MATCH($AY$4,Direct_Cost_Type,0))*$L15*INDEX(Act_Type_Repex_Splits,MATCH($I15,Act_Type_Repex,0),MATCH(AO$4,Mat_Type,0))*INDEX(Escalators!$I$44:$U$49,MATCH(AO$4,Escalators!$C$44:$C$49,0),MATCH(AO$5,Escalators!$I$43:$U$43,0))</f>
        <v>0</v>
      </c>
      <c r="AP15" s="47">
        <f>INDEX(Direct_Cost_Splits_Network,MATCH($H15,RIN_Asset_Cat_Network,0),MATCH($AY$4,Direct_Cost_Type,0))*$L15*INDEX(Act_Type_Repex_Splits,MATCH($I15,Act_Type_Repex,0),MATCH(AP$4,Mat_Type,0))*INDEX(Escalators!$I$44:$U$49,MATCH(AP$4,Escalators!$C$44:$C$49,0),MATCH(AP$5,Escalators!$I$43:$U$43,0))</f>
        <v>0</v>
      </c>
      <c r="AQ15" s="47">
        <f>INDEX(Direct_Cost_Splits_Network,MATCH($H15,RIN_Asset_Cat_Network,0),MATCH($AY$4,Direct_Cost_Type,0))*$L15*INDEX(Act_Type_Repex_Splits,MATCH($I15,Act_Type_Repex,0),MATCH(AQ$4,Mat_Type,0))*INDEX(Escalators!$I$44:$U$49,MATCH(AQ$4,Escalators!$C$44:$C$49,0),MATCH(AQ$5,Escalators!$I$43:$U$43,0))</f>
        <v>0</v>
      </c>
      <c r="AR15" s="47">
        <f>INDEX(Direct_Cost_Splits_Network,MATCH($H15,RIN_Asset_Cat_Network,0),MATCH($AY$4,Direct_Cost_Type,0))*$L15*INDEX(Act_Type_Repex_Splits,MATCH($I15,Act_Type_Repex,0),MATCH(AR$4,Mat_Type,0))*INDEX(Escalators!$I$44:$U$49,MATCH(AR$4,Escalators!$C$44:$C$49,0),MATCH(AR$5,Escalators!$I$43:$U$43,0))</f>
        <v>0</v>
      </c>
      <c r="AS15" s="47">
        <f t="shared" si="27"/>
        <v>0</v>
      </c>
      <c r="AT15" s="47">
        <f>INDEX(Direct_Cost_Splits_Network,MATCH($H15,RIN_Asset_Cat_Network,0),MATCH($AY$4,Direct_Cost_Type,0))*$M15*INDEX(Act_Type_Repex_Splits,MATCH($I15,Act_Type_Repex,0),MATCH(AT$4,Mat_Type,0))*INDEX(Escalators!$I$44:$U$49,MATCH(AT$4,Escalators!$C$44:$C$49,0),MATCH(AT$5,Escalators!$I$43:$U$43,0))</f>
        <v>0</v>
      </c>
      <c r="AU15" s="47">
        <f>INDEX(Direct_Cost_Splits_Network,MATCH($H15,RIN_Asset_Cat_Network,0),MATCH($AY$4,Direct_Cost_Type,0))*$M15*INDEX(Act_Type_Repex_Splits,MATCH($I15,Act_Type_Repex,0),MATCH(AU$4,Mat_Type,0))*INDEX(Escalators!$I$44:$U$49,MATCH(AU$4,Escalators!$C$44:$C$49,0),MATCH(AU$5,Escalators!$I$43:$U$43,0))</f>
        <v>0</v>
      </c>
      <c r="AV15" s="47">
        <f>INDEX(Direct_Cost_Splits_Network,MATCH($H15,RIN_Asset_Cat_Network,0),MATCH($AY$4,Direct_Cost_Type,0))*$M15*INDEX(Act_Type_Repex_Splits,MATCH($I15,Act_Type_Repex,0),MATCH(AV$4,Mat_Type,0))*INDEX(Escalators!$I$44:$U$49,MATCH(AV$4,Escalators!$C$44:$C$49,0),MATCH(AV$5,Escalators!$I$43:$U$43,0))</f>
        <v>12.45561400793037</v>
      </c>
      <c r="AW15" s="47">
        <f>INDEX(Direct_Cost_Splits_Network,MATCH($H15,RIN_Asset_Cat_Network,0),MATCH($AY$4,Direct_Cost_Type,0))*$M15*INDEX(Act_Type_Repex_Splits,MATCH($I15,Act_Type_Repex,0),MATCH(AW$4,Mat_Type,0))*INDEX(Escalators!$I$44:$U$49,MATCH(AW$4,Escalators!$C$44:$C$49,0),MATCH(AW$5,Escalators!$I$43:$U$43,0))</f>
        <v>0</v>
      </c>
      <c r="AX15" s="47">
        <f>INDEX(Direct_Cost_Splits_Network,MATCH($H15,RIN_Asset_Cat_Network,0),MATCH($AY$4,Direct_Cost_Type,0))*$M15*INDEX(Act_Type_Repex_Splits,MATCH($I15,Act_Type_Repex,0),MATCH(AX$4,Mat_Type,0))*INDEX(Escalators!$I$44:$U$49,MATCH(AX$4,Escalators!$C$44:$C$49,0),MATCH(AX$5,Escalators!$I$43:$U$43,0))</f>
        <v>49.82245603172148</v>
      </c>
      <c r="AY15" s="47">
        <f t="shared" si="28"/>
        <v>62.278070039651851</v>
      </c>
      <c r="AZ15" s="47">
        <f>INDEX(Direct_Cost_Splits_Network,MATCH($H15,RIN_Asset_Cat_Network,0),MATCH($BE$4,Direct_Cost_Type,0))*$N15*INDEX(Act_Type_Repex_Splits,MATCH($I15,Act_Type_Repex,0),MATCH(AZ$4,Mat_Type,0))*INDEX(Escalators!$I$44:$U$49,MATCH(AZ$4,Escalators!$C$44:$C$49,0),MATCH(AZ$5,Escalators!$I$43:$U$43,0))</f>
        <v>0</v>
      </c>
      <c r="BA15" s="47">
        <f>INDEX(Direct_Cost_Splits_Network,MATCH($H15,RIN_Asset_Cat_Network,0),MATCH($BE$4,Direct_Cost_Type,0))*$N15*INDEX(Act_Type_Repex_Splits,MATCH($I15,Act_Type_Repex,0),MATCH(BA$4,Mat_Type,0))*INDEX(Escalators!$I$44:$U$49,MATCH(BA$4,Escalators!$C$44:$C$49,0),MATCH(BA$5,Escalators!$I$43:$U$43,0))</f>
        <v>0</v>
      </c>
      <c r="BB15" s="47">
        <f>INDEX(Direct_Cost_Splits_Network,MATCH($H15,RIN_Asset_Cat_Network,0),MATCH($BE$4,Direct_Cost_Type,0))*$N15*INDEX(Act_Type_Repex_Splits,MATCH($I15,Act_Type_Repex,0),MATCH(BB$4,Mat_Type,0))*INDEX(Escalators!$I$44:$U$49,MATCH(BB$4,Escalators!$C$44:$C$49,0),MATCH(BB$5,Escalators!$I$43:$U$43,0))</f>
        <v>12.45561400793037</v>
      </c>
      <c r="BC15" s="47">
        <f>INDEX(Direct_Cost_Splits_Network,MATCH($H15,RIN_Asset_Cat_Network,0),MATCH($BE$4,Direct_Cost_Type,0))*$N15*INDEX(Act_Type_Repex_Splits,MATCH($I15,Act_Type_Repex,0),MATCH(BC$4,Mat_Type,0))*INDEX(Escalators!$I$44:$U$49,MATCH(BC$4,Escalators!$C$44:$C$49,0),MATCH(BC$5,Escalators!$I$43:$U$43,0))</f>
        <v>0</v>
      </c>
      <c r="BD15" s="47">
        <f>INDEX(Direct_Cost_Splits_Network,MATCH($H15,RIN_Asset_Cat_Network,0),MATCH($BE$4,Direct_Cost_Type,0))*$N15*INDEX(Act_Type_Repex_Splits,MATCH($I15,Act_Type_Repex,0),MATCH(BD$4,Mat_Type,0))*INDEX(Escalators!$I$44:$U$49,MATCH(BD$4,Escalators!$C$44:$C$49,0),MATCH(BD$5,Escalators!$I$43:$U$43,0))</f>
        <v>49.82245603172148</v>
      </c>
      <c r="BE15" s="47">
        <f t="shared" si="29"/>
        <v>62.278070039651851</v>
      </c>
      <c r="BF15" s="47">
        <f>INDEX(Direct_Cost_Splits_Network,MATCH($H15,RIN_Asset_Cat_Network,0),MATCH($BK$4,Direct_Cost_Type,0))*$O15*INDEX(Act_Type_Repex_Splits,MATCH($I15,Act_Type_Repex,0),MATCH(BF$4,Mat_Type,0))*INDEX(Escalators!$I$44:$U$49,MATCH(BF$4,Escalators!$C$44:$C$49,0),MATCH(BF$5,Escalators!$I$43:$U$43,0))</f>
        <v>0</v>
      </c>
      <c r="BG15" s="47">
        <f>INDEX(Direct_Cost_Splits_Network,MATCH($H15,RIN_Asset_Cat_Network,0),MATCH($BK$4,Direct_Cost_Type,0))*$O15*INDEX(Act_Type_Repex_Splits,MATCH($I15,Act_Type_Repex,0),MATCH(BG$4,Mat_Type,0))*INDEX(Escalators!$I$44:$U$49,MATCH(BG$4,Escalators!$C$44:$C$49,0),MATCH(BG$5,Escalators!$I$43:$U$43,0))</f>
        <v>0</v>
      </c>
      <c r="BH15" s="47">
        <f>INDEX(Direct_Cost_Splits_Network,MATCH($H15,RIN_Asset_Cat_Network,0),MATCH($BK$4,Direct_Cost_Type,0))*$O15*INDEX(Act_Type_Repex_Splits,MATCH($I15,Act_Type_Repex,0),MATCH(BH$4,Mat_Type,0))*INDEX(Escalators!$I$44:$U$49,MATCH(BH$4,Escalators!$C$44:$C$49,0),MATCH(BH$5,Escalators!$I$43:$U$43,0))</f>
        <v>12.45561400793037</v>
      </c>
      <c r="BI15" s="47">
        <f>INDEX(Direct_Cost_Splits_Network,MATCH($H15,RIN_Asset_Cat_Network,0),MATCH($BK$4,Direct_Cost_Type,0))*$O15*INDEX(Act_Type_Repex_Splits,MATCH($I15,Act_Type_Repex,0),MATCH(BI$4,Mat_Type,0))*INDEX(Escalators!$I$44:$U$49,MATCH(BI$4,Escalators!$C$44:$C$49,0),MATCH(BI$5,Escalators!$I$43:$U$43,0))</f>
        <v>0</v>
      </c>
      <c r="BJ15" s="47">
        <f>INDEX(Direct_Cost_Splits_Network,MATCH($H15,RIN_Asset_Cat_Network,0),MATCH($BK$4,Direct_Cost_Type,0))*$O15*INDEX(Act_Type_Repex_Splits,MATCH($I15,Act_Type_Repex,0),MATCH(BJ$4,Mat_Type,0))*INDEX(Escalators!$I$44:$U$49,MATCH(BJ$4,Escalators!$C$44:$C$49,0),MATCH(BJ$5,Escalators!$I$43:$U$43,0))</f>
        <v>49.82245603172148</v>
      </c>
      <c r="BK15" s="47">
        <f t="shared" si="30"/>
        <v>62.278070039651851</v>
      </c>
      <c r="BL15" s="47">
        <f>INDEX(Direct_Cost_Splits_Network,MATCH($H15,RIN_Asset_Cat_Network,0),MATCH($BQ$4,Direct_Cost_Type,0))*$P15*INDEX(Act_Type_Repex_Splits,MATCH($I15,Act_Type_Repex,0),MATCH(BL$4,Mat_Type,0))*INDEX(Escalators!$I$44:$U$49,MATCH(BL$4,Escalators!$C$44:$C$49,0),MATCH(BL$5,Escalators!$I$43:$U$43,0))</f>
        <v>0</v>
      </c>
      <c r="BM15" s="47">
        <f>INDEX(Direct_Cost_Splits_Network,MATCH($H15,RIN_Asset_Cat_Network,0),MATCH($BQ$4,Direct_Cost_Type,0))*$P15*INDEX(Act_Type_Repex_Splits,MATCH($I15,Act_Type_Repex,0),MATCH(BM$4,Mat_Type,0))*INDEX(Escalators!$I$44:$U$49,MATCH(BM$4,Escalators!$C$44:$C$49,0),MATCH(BM$5,Escalators!$I$43:$U$43,0))</f>
        <v>0</v>
      </c>
      <c r="BN15" s="47">
        <f>INDEX(Direct_Cost_Splits_Network,MATCH($H15,RIN_Asset_Cat_Network,0),MATCH($BQ$4,Direct_Cost_Type,0))*$P15*INDEX(Act_Type_Repex_Splits,MATCH($I15,Act_Type_Repex,0),MATCH(BN$4,Mat_Type,0))*INDEX(Escalators!$I$44:$U$49,MATCH(BN$4,Escalators!$C$44:$C$49,0),MATCH(BN$5,Escalators!$I$43:$U$43,0))</f>
        <v>12.45561400793037</v>
      </c>
      <c r="BO15" s="47">
        <f>INDEX(Direct_Cost_Splits_Network,MATCH($H15,RIN_Asset_Cat_Network,0),MATCH($BQ$4,Direct_Cost_Type,0))*$P15*INDEX(Act_Type_Repex_Splits,MATCH($I15,Act_Type_Repex,0),MATCH(BO$4,Mat_Type,0))*INDEX(Escalators!$I$44:$U$49,MATCH(BO$4,Escalators!$C$44:$C$49,0),MATCH(BO$5,Escalators!$I$43:$U$43,0))</f>
        <v>0</v>
      </c>
      <c r="BP15" s="47">
        <f>INDEX(Direct_Cost_Splits_Network,MATCH($H15,RIN_Asset_Cat_Network,0),MATCH($BQ$4,Direct_Cost_Type,0))*$P15*INDEX(Act_Type_Repex_Splits,MATCH($I15,Act_Type_Repex,0),MATCH(BP$4,Mat_Type,0))*INDEX(Escalators!$I$44:$U$49,MATCH(BP$4,Escalators!$C$44:$C$49,0),MATCH(BP$5,Escalators!$I$43:$U$43,0))</f>
        <v>49.82245603172148</v>
      </c>
      <c r="BQ15" s="47">
        <f t="shared" si="31"/>
        <v>62.278070039651851</v>
      </c>
      <c r="BR15" s="47">
        <f>INDEX(Direct_Cost_Splits_Network,MATCH($H15,RIN_Asset_Cat_Network,0),MATCH($BW$4,Direct_Cost_Type,0))*$Q15*INDEX(Act_Type_Repex_Splits,MATCH($I15,Act_Type_Repex,0),MATCH(BR$4,Mat_Type,0))*INDEX(Escalators!$I$44:$U$49,MATCH(BR$4,Escalators!$C$44:$C$49,0),MATCH(BR$5,Escalators!$I$43:$U$43,0))</f>
        <v>0</v>
      </c>
      <c r="BS15" s="47">
        <f>INDEX(Direct_Cost_Splits_Network,MATCH($H15,RIN_Asset_Cat_Network,0),MATCH($BW$4,Direct_Cost_Type,0))*$Q15*INDEX(Act_Type_Repex_Splits,MATCH($I15,Act_Type_Repex,0),MATCH(BS$4,Mat_Type,0))*INDEX(Escalators!$I$44:$U$49,MATCH(BS$4,Escalators!$C$44:$C$49,0),MATCH(BS$5,Escalators!$I$43:$U$43,0))</f>
        <v>0</v>
      </c>
      <c r="BT15" s="47">
        <f>INDEX(Direct_Cost_Splits_Network,MATCH($H15,RIN_Asset_Cat_Network,0),MATCH($BW$4,Direct_Cost_Type,0))*$Q15*INDEX(Act_Type_Repex_Splits,MATCH($I15,Act_Type_Repex,0),MATCH(BT$4,Mat_Type,0))*INDEX(Escalators!$I$44:$U$49,MATCH(BT$4,Escalators!$C$44:$C$49,0),MATCH(BT$5,Escalators!$I$43:$U$43,0))</f>
        <v>0</v>
      </c>
      <c r="BU15" s="47">
        <f>INDEX(Direct_Cost_Splits_Network,MATCH($H15,RIN_Asset_Cat_Network,0),MATCH($BW$4,Direct_Cost_Type,0))*$Q15*INDEX(Act_Type_Repex_Splits,MATCH($I15,Act_Type_Repex,0),MATCH(BU$4,Mat_Type,0))*INDEX(Escalators!$I$44:$U$49,MATCH(BU$4,Escalators!$C$44:$C$49,0),MATCH(BU$5,Escalators!$I$43:$U$43,0))</f>
        <v>0</v>
      </c>
      <c r="BV15" s="47">
        <f>INDEX(Direct_Cost_Splits_Network,MATCH($H15,RIN_Asset_Cat_Network,0),MATCH($BW$4,Direct_Cost_Type,0))*$Q15*INDEX(Act_Type_Repex_Splits,MATCH($I15,Act_Type_Repex,0),MATCH(BV$4,Mat_Type,0))*INDEX(Escalators!$I$44:$U$49,MATCH(BV$4,Escalators!$C$44:$C$49,0),MATCH(BV$5,Escalators!$I$43:$U$43,0))</f>
        <v>0</v>
      </c>
      <c r="BW15" s="47">
        <f t="shared" si="32"/>
        <v>0</v>
      </c>
      <c r="BY15" s="47">
        <f>INDEX(Direct_Cost_Splits_Network,MATCH($H15,RIN_Asset_Cat_Network,0),MATCH($BY$4,Direct_Cost_Type,0))*J15*HLOOKUP(BY$5,Escalators!$I$25:$U$30,6,FALSE)</f>
        <v>0</v>
      </c>
      <c r="BZ15" s="47">
        <f>INDEX(Direct_Cost_Splits_Network,MATCH($H15,RIN_Asset_Cat_Network,0),MATCH($BY$4,Direct_Cost_Type,0))*K15*HLOOKUP(BZ$5,Escalators!$I$25:$U$30,6,FALSE)</f>
        <v>0</v>
      </c>
      <c r="CA15" s="47">
        <f>INDEX(Direct_Cost_Splits_Network,MATCH($H15,RIN_Asset_Cat_Network,0),MATCH($BY$4,Direct_Cost_Type,0))*L15*HLOOKUP(CA$5,Escalators!$I$25:$U$30,6,FALSE)</f>
        <v>0</v>
      </c>
      <c r="CB15" s="47">
        <f>INDEX(Direct_Cost_Splits_Network,MATCH($H15,RIN_Asset_Cat_Network,0),MATCH($BY$4,Direct_Cost_Type,0))*M15*HLOOKUP(CB$5,Escalators!$I$25:$U$30,6,FALSE)</f>
        <v>172.34277922511586</v>
      </c>
      <c r="CC15" s="47">
        <f>INDEX(Direct_Cost_Splits_Network,MATCH($H15,RIN_Asset_Cat_Network,0),MATCH($BY$4,Direct_Cost_Type,0))*N15*HLOOKUP(CC$5,Escalators!$I$25:$U$30,6,FALSE)</f>
        <v>174.11104410290667</v>
      </c>
      <c r="CD15" s="47">
        <f>INDEX(Direct_Cost_Splits_Network,MATCH($H15,RIN_Asset_Cat_Network,0),MATCH($BY$4,Direct_Cost_Type,0))*O15*HLOOKUP(CD$5,Escalators!$I$25:$U$30,6,FALSE)</f>
        <v>175.98515534932542</v>
      </c>
      <c r="CE15" s="47">
        <f>INDEX(Direct_Cost_Splits_Network,MATCH($H15,RIN_Asset_Cat_Network,0),MATCH($BY$4,Direct_Cost_Type,0))*P15*HLOOKUP(CE$5,Escalators!$I$25:$U$30,6,FALSE)</f>
        <v>177.64914061688947</v>
      </c>
      <c r="CF15" s="47">
        <f>INDEX(Direct_Cost_Splits_Network,MATCH($H15,RIN_Asset_Cat_Network,0),MATCH($BY$4,Direct_Cost_Type,0))*Q15*HLOOKUP(CF$5,Escalators!$I$25:$U$30,6,FALSE)</f>
        <v>0</v>
      </c>
      <c r="CH15" s="83">
        <f t="shared" si="33"/>
        <v>0</v>
      </c>
      <c r="CI15" s="83">
        <f t="shared" si="33"/>
        <v>0</v>
      </c>
      <c r="CJ15" s="83">
        <f t="shared" si="33"/>
        <v>0</v>
      </c>
      <c r="CK15" s="83">
        <f t="shared" si="33"/>
        <v>25.818498561052653</v>
      </c>
      <c r="CL15" s="83">
        <f t="shared" si="33"/>
        <v>25.818498561052653</v>
      </c>
      <c r="CM15" s="83">
        <f t="shared" si="33"/>
        <v>25.818498561052653</v>
      </c>
      <c r="CN15" s="83">
        <f t="shared" si="33"/>
        <v>25.818498561052653</v>
      </c>
      <c r="CO15" s="83">
        <f t="shared" si="33"/>
        <v>0</v>
      </c>
      <c r="CQ15" s="47">
        <f t="shared" si="34"/>
        <v>0</v>
      </c>
      <c r="CR15" s="47">
        <f t="shared" si="35"/>
        <v>0</v>
      </c>
      <c r="CS15" s="47">
        <f t="shared" si="36"/>
        <v>0</v>
      </c>
      <c r="CT15" s="47">
        <f t="shared" si="37"/>
        <v>289.65379869798591</v>
      </c>
      <c r="CU15" s="47">
        <f t="shared" si="38"/>
        <v>291.72180858182486</v>
      </c>
      <c r="CV15" s="47">
        <f t="shared" si="39"/>
        <v>293.91360723692793</v>
      </c>
      <c r="CW15" s="47">
        <f t="shared" si="40"/>
        <v>295.85966069481492</v>
      </c>
      <c r="CX15" s="47">
        <f t="shared" si="41"/>
        <v>0</v>
      </c>
    </row>
    <row r="16" spans="2:102"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6"/>
      <c r="AC16" s="6"/>
      <c r="AD16" s="6"/>
      <c r="AE16" s="6"/>
      <c r="AF16" s="6"/>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Y16" s="47"/>
      <c r="BZ16" s="47"/>
      <c r="CA16" s="47"/>
      <c r="CB16" s="47"/>
      <c r="CC16" s="47"/>
      <c r="CD16" s="47"/>
      <c r="CE16" s="47"/>
      <c r="CF16" s="47"/>
      <c r="CH16" s="83"/>
      <c r="CI16" s="83"/>
      <c r="CJ16" s="83"/>
      <c r="CK16" s="83"/>
      <c r="CL16" s="83"/>
      <c r="CM16" s="83"/>
      <c r="CN16" s="83"/>
      <c r="CO16" s="83"/>
      <c r="CQ16" s="47">
        <f t="shared" ref="CQ16:CQ36" si="42">S16+AG16+BY16+CH16</f>
        <v>0</v>
      </c>
      <c r="CR16" s="47">
        <f t="shared" ref="CR16:CR36" si="43">T16+AM16+BZ16+CI16</f>
        <v>0</v>
      </c>
      <c r="CS16" s="47">
        <f t="shared" ref="CS16:CS36" si="44">U16+AS16+CA16+CJ16</f>
        <v>0</v>
      </c>
      <c r="CT16" s="47">
        <f t="shared" ref="CT16:CT36" si="45">V16+AY16+CB16+CK16</f>
        <v>0</v>
      </c>
      <c r="CU16" s="47">
        <f t="shared" ref="CU16:CU36" si="46">W16+BE16+CC16+CL16</f>
        <v>0</v>
      </c>
      <c r="CV16" s="47">
        <f t="shared" ref="CV16:CV36" si="47">X16+BK16+CD16+CM16</f>
        <v>0</v>
      </c>
      <c r="CW16" s="47">
        <f t="shared" ref="CW16:CW36" si="48">Y16+BQ16+CE16+CN16</f>
        <v>0</v>
      </c>
      <c r="CX16" s="47">
        <f t="shared" ref="CX16:CX36" si="49">Z16+BW16+CF16+CO16</f>
        <v>0</v>
      </c>
    </row>
    <row r="17" spans="2:102" x14ac:dyDescent="0.3">
      <c r="B17" s="7"/>
      <c r="C17" s="7"/>
      <c r="D17" s="7"/>
      <c r="E17" s="7"/>
      <c r="F17" s="7"/>
      <c r="G17" s="7"/>
      <c r="H17" s="7"/>
      <c r="I17" s="7"/>
      <c r="J17" s="45"/>
      <c r="K17" s="45"/>
      <c r="L17" s="45"/>
      <c r="M17" s="45"/>
      <c r="N17" s="45"/>
      <c r="O17" s="45"/>
      <c r="P17" s="45"/>
      <c r="Q17" s="45"/>
      <c r="S17" s="47"/>
      <c r="T17" s="47"/>
      <c r="U17" s="47"/>
      <c r="V17" s="47"/>
      <c r="W17" s="47"/>
      <c r="X17" s="47"/>
      <c r="Y17" s="47"/>
      <c r="Z17" s="47"/>
      <c r="AB17" s="6"/>
      <c r="AC17" s="6"/>
      <c r="AD17" s="6"/>
      <c r="AE17" s="6"/>
      <c r="AF17" s="6"/>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Y17" s="47"/>
      <c r="BZ17" s="47"/>
      <c r="CA17" s="47"/>
      <c r="CB17" s="47"/>
      <c r="CC17" s="47"/>
      <c r="CD17" s="47"/>
      <c r="CE17" s="47"/>
      <c r="CF17" s="47"/>
      <c r="CH17" s="83"/>
      <c r="CI17" s="83"/>
      <c r="CJ17" s="83"/>
      <c r="CK17" s="83"/>
      <c r="CL17" s="83"/>
      <c r="CM17" s="83"/>
      <c r="CN17" s="83"/>
      <c r="CO17" s="83"/>
      <c r="CQ17" s="47">
        <f t="shared" si="42"/>
        <v>0</v>
      </c>
      <c r="CR17" s="47">
        <f t="shared" si="43"/>
        <v>0</v>
      </c>
      <c r="CS17" s="47">
        <f t="shared" si="44"/>
        <v>0</v>
      </c>
      <c r="CT17" s="47">
        <f t="shared" si="45"/>
        <v>0</v>
      </c>
      <c r="CU17" s="47">
        <f t="shared" si="46"/>
        <v>0</v>
      </c>
      <c r="CV17" s="47">
        <f t="shared" si="47"/>
        <v>0</v>
      </c>
      <c r="CW17" s="47">
        <f t="shared" si="48"/>
        <v>0</v>
      </c>
      <c r="CX17" s="47">
        <f t="shared" si="49"/>
        <v>0</v>
      </c>
    </row>
    <row r="18" spans="2:102" x14ac:dyDescent="0.3">
      <c r="B18" s="7"/>
      <c r="C18" s="7"/>
      <c r="D18" s="7"/>
      <c r="E18" s="7"/>
      <c r="F18" s="7"/>
      <c r="G18" s="7"/>
      <c r="H18" s="7"/>
      <c r="I18" s="7"/>
      <c r="J18" s="45"/>
      <c r="K18" s="45"/>
      <c r="L18" s="45"/>
      <c r="M18" s="45"/>
      <c r="N18" s="45"/>
      <c r="O18" s="45"/>
      <c r="P18" s="45"/>
      <c r="Q18" s="45"/>
      <c r="S18" s="47"/>
      <c r="T18" s="47"/>
      <c r="U18" s="47"/>
      <c r="V18" s="47"/>
      <c r="W18" s="47"/>
      <c r="X18" s="47"/>
      <c r="Y18" s="47"/>
      <c r="Z18" s="47"/>
      <c r="AB18" s="6"/>
      <c r="AC18" s="6"/>
      <c r="AD18" s="6"/>
      <c r="AE18" s="6"/>
      <c r="AF18" s="6"/>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Y18" s="47"/>
      <c r="BZ18" s="47"/>
      <c r="CA18" s="47"/>
      <c r="CB18" s="47"/>
      <c r="CC18" s="47"/>
      <c r="CD18" s="47"/>
      <c r="CE18" s="47"/>
      <c r="CF18" s="47"/>
      <c r="CH18" s="83"/>
      <c r="CI18" s="83"/>
      <c r="CJ18" s="83"/>
      <c r="CK18" s="83"/>
      <c r="CL18" s="83"/>
      <c r="CM18" s="83"/>
      <c r="CN18" s="83"/>
      <c r="CO18" s="83"/>
      <c r="CQ18" s="47">
        <f t="shared" si="42"/>
        <v>0</v>
      </c>
      <c r="CR18" s="47">
        <f t="shared" si="43"/>
        <v>0</v>
      </c>
      <c r="CS18" s="47">
        <f t="shared" si="44"/>
        <v>0</v>
      </c>
      <c r="CT18" s="47">
        <f t="shared" si="45"/>
        <v>0</v>
      </c>
      <c r="CU18" s="47">
        <f t="shared" si="46"/>
        <v>0</v>
      </c>
      <c r="CV18" s="47">
        <f t="shared" si="47"/>
        <v>0</v>
      </c>
      <c r="CW18" s="47">
        <f t="shared" si="48"/>
        <v>0</v>
      </c>
      <c r="CX18" s="47">
        <f t="shared" si="49"/>
        <v>0</v>
      </c>
    </row>
    <row r="19" spans="2:102" x14ac:dyDescent="0.3">
      <c r="B19" s="7"/>
      <c r="C19" s="7"/>
      <c r="D19" s="7"/>
      <c r="E19" s="7"/>
      <c r="F19" s="7"/>
      <c r="G19" s="7"/>
      <c r="H19" s="7"/>
      <c r="I19" s="7"/>
      <c r="J19" s="45"/>
      <c r="K19" s="45"/>
      <c r="L19" s="45"/>
      <c r="M19" s="45"/>
      <c r="N19" s="45"/>
      <c r="O19" s="45"/>
      <c r="P19" s="45"/>
      <c r="Q19" s="45"/>
      <c r="S19" s="47"/>
      <c r="T19" s="47"/>
      <c r="U19" s="47"/>
      <c r="V19" s="47"/>
      <c r="W19" s="47"/>
      <c r="X19" s="47"/>
      <c r="Y19" s="47"/>
      <c r="Z19" s="47"/>
      <c r="AB19" s="6"/>
      <c r="AC19" s="6"/>
      <c r="AD19" s="6"/>
      <c r="AE19" s="6"/>
      <c r="AF19" s="6"/>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Y19" s="47"/>
      <c r="BZ19" s="47"/>
      <c r="CA19" s="47"/>
      <c r="CB19" s="47"/>
      <c r="CC19" s="47"/>
      <c r="CD19" s="47"/>
      <c r="CE19" s="47"/>
      <c r="CF19" s="47"/>
      <c r="CH19" s="83"/>
      <c r="CI19" s="83"/>
      <c r="CJ19" s="83"/>
      <c r="CK19" s="83"/>
      <c r="CL19" s="83"/>
      <c r="CM19" s="83"/>
      <c r="CN19" s="83"/>
      <c r="CO19" s="83"/>
      <c r="CQ19" s="47">
        <f t="shared" si="42"/>
        <v>0</v>
      </c>
      <c r="CR19" s="47">
        <f t="shared" si="43"/>
        <v>0</v>
      </c>
      <c r="CS19" s="47">
        <f t="shared" si="44"/>
        <v>0</v>
      </c>
      <c r="CT19" s="47">
        <f t="shared" si="45"/>
        <v>0</v>
      </c>
      <c r="CU19" s="47">
        <f t="shared" si="46"/>
        <v>0</v>
      </c>
      <c r="CV19" s="47">
        <f t="shared" si="47"/>
        <v>0</v>
      </c>
      <c r="CW19" s="47">
        <f t="shared" si="48"/>
        <v>0</v>
      </c>
      <c r="CX19" s="47">
        <f t="shared" si="49"/>
        <v>0</v>
      </c>
    </row>
    <row r="20" spans="2:102" x14ac:dyDescent="0.3">
      <c r="B20" s="7"/>
      <c r="C20" s="7"/>
      <c r="D20" s="7"/>
      <c r="E20" s="7"/>
      <c r="F20" s="7"/>
      <c r="G20" s="7"/>
      <c r="H20" s="7"/>
      <c r="I20" s="7"/>
      <c r="J20" s="45"/>
      <c r="K20" s="45"/>
      <c r="L20" s="45"/>
      <c r="M20" s="45"/>
      <c r="N20" s="45"/>
      <c r="O20" s="45"/>
      <c r="P20" s="45"/>
      <c r="Q20" s="45"/>
      <c r="S20" s="47"/>
      <c r="T20" s="47"/>
      <c r="U20" s="47"/>
      <c r="V20" s="47"/>
      <c r="W20" s="47"/>
      <c r="X20" s="47"/>
      <c r="Y20" s="47"/>
      <c r="Z20" s="47"/>
      <c r="AB20" s="6"/>
      <c r="AC20" s="6"/>
      <c r="AD20" s="6"/>
      <c r="AE20" s="6"/>
      <c r="AF20" s="6"/>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Y20" s="47"/>
      <c r="BZ20" s="47"/>
      <c r="CA20" s="47"/>
      <c r="CB20" s="47"/>
      <c r="CC20" s="47"/>
      <c r="CD20" s="47"/>
      <c r="CE20" s="47"/>
      <c r="CF20" s="47"/>
      <c r="CH20" s="83"/>
      <c r="CI20" s="83"/>
      <c r="CJ20" s="83"/>
      <c r="CK20" s="83"/>
      <c r="CL20" s="83"/>
      <c r="CM20" s="83"/>
      <c r="CN20" s="83"/>
      <c r="CO20" s="83"/>
      <c r="CQ20" s="47">
        <f t="shared" si="42"/>
        <v>0</v>
      </c>
      <c r="CR20" s="47">
        <f t="shared" si="43"/>
        <v>0</v>
      </c>
      <c r="CS20" s="47">
        <f t="shared" si="44"/>
        <v>0</v>
      </c>
      <c r="CT20" s="47">
        <f t="shared" si="45"/>
        <v>0</v>
      </c>
      <c r="CU20" s="47">
        <f t="shared" si="46"/>
        <v>0</v>
      </c>
      <c r="CV20" s="47">
        <f t="shared" si="47"/>
        <v>0</v>
      </c>
      <c r="CW20" s="47">
        <f t="shared" si="48"/>
        <v>0</v>
      </c>
      <c r="CX20" s="47">
        <f t="shared" si="49"/>
        <v>0</v>
      </c>
    </row>
    <row r="21" spans="2:102" x14ac:dyDescent="0.3">
      <c r="B21" s="7"/>
      <c r="C21" s="7"/>
      <c r="D21" s="7"/>
      <c r="E21" s="7"/>
      <c r="F21" s="7"/>
      <c r="G21" s="7"/>
      <c r="H21" s="7"/>
      <c r="I21" s="7"/>
      <c r="J21" s="45"/>
      <c r="K21" s="45"/>
      <c r="L21" s="45"/>
      <c r="M21" s="45"/>
      <c r="N21" s="45"/>
      <c r="O21" s="45"/>
      <c r="P21" s="45"/>
      <c r="Q21" s="45"/>
      <c r="S21" s="47"/>
      <c r="T21" s="47"/>
      <c r="U21" s="47"/>
      <c r="V21" s="47"/>
      <c r="W21" s="47"/>
      <c r="X21" s="47"/>
      <c r="Y21" s="47"/>
      <c r="Z21" s="47"/>
      <c r="AB21" s="6"/>
      <c r="AC21" s="6"/>
      <c r="AD21" s="6"/>
      <c r="AE21" s="6"/>
      <c r="AF21" s="6"/>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Y21" s="47"/>
      <c r="BZ21" s="47"/>
      <c r="CA21" s="47"/>
      <c r="CB21" s="47"/>
      <c r="CC21" s="47"/>
      <c r="CD21" s="47"/>
      <c r="CE21" s="47"/>
      <c r="CF21" s="47"/>
      <c r="CH21" s="83"/>
      <c r="CI21" s="83"/>
      <c r="CJ21" s="83"/>
      <c r="CK21" s="83"/>
      <c r="CL21" s="83"/>
      <c r="CM21" s="83"/>
      <c r="CN21" s="83"/>
      <c r="CO21" s="83"/>
      <c r="CQ21" s="47">
        <f t="shared" si="42"/>
        <v>0</v>
      </c>
      <c r="CR21" s="47">
        <f t="shared" si="43"/>
        <v>0</v>
      </c>
      <c r="CS21" s="47">
        <f t="shared" si="44"/>
        <v>0</v>
      </c>
      <c r="CT21" s="47">
        <f t="shared" si="45"/>
        <v>0</v>
      </c>
      <c r="CU21" s="47">
        <f t="shared" si="46"/>
        <v>0</v>
      </c>
      <c r="CV21" s="47">
        <f t="shared" si="47"/>
        <v>0</v>
      </c>
      <c r="CW21" s="47">
        <f t="shared" si="48"/>
        <v>0</v>
      </c>
      <c r="CX21" s="47">
        <f t="shared" si="49"/>
        <v>0</v>
      </c>
    </row>
    <row r="22" spans="2:102"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6"/>
      <c r="AC22" s="6"/>
      <c r="AD22" s="6"/>
      <c r="AE22" s="6"/>
      <c r="AF22" s="6"/>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Y22" s="47"/>
      <c r="BZ22" s="47"/>
      <c r="CA22" s="47"/>
      <c r="CB22" s="47"/>
      <c r="CC22" s="47"/>
      <c r="CD22" s="47"/>
      <c r="CE22" s="47"/>
      <c r="CF22" s="47"/>
      <c r="CH22" s="83"/>
      <c r="CI22" s="83"/>
      <c r="CJ22" s="83"/>
      <c r="CK22" s="83"/>
      <c r="CL22" s="83"/>
      <c r="CM22" s="83"/>
      <c r="CN22" s="83"/>
      <c r="CO22" s="83"/>
      <c r="CQ22" s="47">
        <f t="shared" si="42"/>
        <v>0</v>
      </c>
      <c r="CR22" s="47">
        <f t="shared" si="43"/>
        <v>0</v>
      </c>
      <c r="CS22" s="47">
        <f t="shared" si="44"/>
        <v>0</v>
      </c>
      <c r="CT22" s="47">
        <f t="shared" si="45"/>
        <v>0</v>
      </c>
      <c r="CU22" s="47">
        <f t="shared" si="46"/>
        <v>0</v>
      </c>
      <c r="CV22" s="47">
        <f t="shared" si="47"/>
        <v>0</v>
      </c>
      <c r="CW22" s="47">
        <f t="shared" si="48"/>
        <v>0</v>
      </c>
      <c r="CX22" s="47">
        <f t="shared" si="49"/>
        <v>0</v>
      </c>
    </row>
    <row r="23" spans="2:102"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6"/>
      <c r="AC23" s="6"/>
      <c r="AD23" s="6"/>
      <c r="AE23" s="6"/>
      <c r="AF23" s="6"/>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Y23" s="47"/>
      <c r="BZ23" s="47"/>
      <c r="CA23" s="47"/>
      <c r="CB23" s="47"/>
      <c r="CC23" s="47"/>
      <c r="CD23" s="47"/>
      <c r="CE23" s="47"/>
      <c r="CF23" s="47"/>
      <c r="CH23" s="83"/>
      <c r="CI23" s="83"/>
      <c r="CJ23" s="83"/>
      <c r="CK23" s="83"/>
      <c r="CL23" s="83"/>
      <c r="CM23" s="83"/>
      <c r="CN23" s="83"/>
      <c r="CO23" s="83"/>
      <c r="CQ23" s="47">
        <f t="shared" si="42"/>
        <v>0</v>
      </c>
      <c r="CR23" s="47">
        <f t="shared" si="43"/>
        <v>0</v>
      </c>
      <c r="CS23" s="47">
        <f t="shared" si="44"/>
        <v>0</v>
      </c>
      <c r="CT23" s="47">
        <f t="shared" si="45"/>
        <v>0</v>
      </c>
      <c r="CU23" s="47">
        <f t="shared" si="46"/>
        <v>0</v>
      </c>
      <c r="CV23" s="47">
        <f t="shared" si="47"/>
        <v>0</v>
      </c>
      <c r="CW23" s="47">
        <f t="shared" si="48"/>
        <v>0</v>
      </c>
      <c r="CX23" s="47">
        <f t="shared" si="49"/>
        <v>0</v>
      </c>
    </row>
    <row r="24" spans="2:102"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6"/>
      <c r="AC24" s="6"/>
      <c r="AD24" s="6"/>
      <c r="AE24" s="6"/>
      <c r="AF24" s="6"/>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Y24" s="47"/>
      <c r="BZ24" s="47"/>
      <c r="CA24" s="47"/>
      <c r="CB24" s="47"/>
      <c r="CC24" s="47"/>
      <c r="CD24" s="47"/>
      <c r="CE24" s="47"/>
      <c r="CF24" s="47"/>
      <c r="CH24" s="83"/>
      <c r="CI24" s="83"/>
      <c r="CJ24" s="83"/>
      <c r="CK24" s="83"/>
      <c r="CL24" s="83"/>
      <c r="CM24" s="83"/>
      <c r="CN24" s="83"/>
      <c r="CO24" s="83"/>
      <c r="CQ24" s="47">
        <f t="shared" ref="CQ24" si="50">S24+AG24+BY24+CH24</f>
        <v>0</v>
      </c>
      <c r="CR24" s="47">
        <f t="shared" ref="CR24" si="51">T24+AM24+BZ24+CI24</f>
        <v>0</v>
      </c>
      <c r="CS24" s="47">
        <f t="shared" si="44"/>
        <v>0</v>
      </c>
      <c r="CT24" s="47">
        <f t="shared" ref="CT24" si="52">V24+AY24+CB24+CK24</f>
        <v>0</v>
      </c>
      <c r="CU24" s="47">
        <f t="shared" ref="CU24" si="53">W24+BE24+CC24+CL24</f>
        <v>0</v>
      </c>
      <c r="CV24" s="47">
        <f t="shared" ref="CV24" si="54">X24+BK24+CD24+CM24</f>
        <v>0</v>
      </c>
      <c r="CW24" s="47">
        <f t="shared" ref="CW24" si="55">Y24+BQ24+CE24+CN24</f>
        <v>0</v>
      </c>
      <c r="CX24" s="47">
        <f t="shared" ref="CX24" si="56">Z24+BW24+CF24+CO24</f>
        <v>0</v>
      </c>
    </row>
    <row r="25" spans="2:102"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6"/>
      <c r="AC25" s="6"/>
      <c r="AD25" s="6"/>
      <c r="AE25" s="6"/>
      <c r="AF25" s="6"/>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Y25" s="47"/>
      <c r="BZ25" s="47"/>
      <c r="CA25" s="47"/>
      <c r="CB25" s="47"/>
      <c r="CC25" s="47"/>
      <c r="CD25" s="47"/>
      <c r="CE25" s="47"/>
      <c r="CF25" s="47"/>
      <c r="CH25" s="83"/>
      <c r="CI25" s="83"/>
      <c r="CJ25" s="83"/>
      <c r="CK25" s="83"/>
      <c r="CL25" s="83"/>
      <c r="CM25" s="83"/>
      <c r="CN25" s="83"/>
      <c r="CO25" s="83"/>
      <c r="CQ25" s="47">
        <f t="shared" si="42"/>
        <v>0</v>
      </c>
      <c r="CR25" s="47">
        <f t="shared" si="43"/>
        <v>0</v>
      </c>
      <c r="CS25" s="47">
        <f t="shared" si="44"/>
        <v>0</v>
      </c>
      <c r="CT25" s="47">
        <f t="shared" si="45"/>
        <v>0</v>
      </c>
      <c r="CU25" s="47">
        <f t="shared" si="46"/>
        <v>0</v>
      </c>
      <c r="CV25" s="47">
        <f t="shared" si="47"/>
        <v>0</v>
      </c>
      <c r="CW25" s="47">
        <f t="shared" si="48"/>
        <v>0</v>
      </c>
      <c r="CX25" s="47">
        <f t="shared" si="49"/>
        <v>0</v>
      </c>
    </row>
    <row r="26" spans="2:102"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6"/>
      <c r="AC26" s="6"/>
      <c r="AD26" s="6"/>
      <c r="AE26" s="6"/>
      <c r="AF26" s="6"/>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Y26" s="47"/>
      <c r="BZ26" s="47"/>
      <c r="CA26" s="47"/>
      <c r="CB26" s="47"/>
      <c r="CC26" s="47"/>
      <c r="CD26" s="47"/>
      <c r="CE26" s="47"/>
      <c r="CF26" s="47"/>
      <c r="CH26" s="47"/>
      <c r="CI26" s="47"/>
      <c r="CJ26" s="47"/>
      <c r="CK26" s="47"/>
      <c r="CL26" s="47"/>
      <c r="CM26" s="47"/>
      <c r="CN26" s="47"/>
      <c r="CO26" s="47"/>
      <c r="CQ26" s="47">
        <f t="shared" si="42"/>
        <v>0</v>
      </c>
      <c r="CR26" s="47">
        <f t="shared" si="43"/>
        <v>0</v>
      </c>
      <c r="CS26" s="47">
        <f t="shared" si="44"/>
        <v>0</v>
      </c>
      <c r="CT26" s="47">
        <f t="shared" si="45"/>
        <v>0</v>
      </c>
      <c r="CU26" s="47">
        <f t="shared" si="46"/>
        <v>0</v>
      </c>
      <c r="CV26" s="47">
        <f t="shared" si="47"/>
        <v>0</v>
      </c>
      <c r="CW26" s="47">
        <f t="shared" si="48"/>
        <v>0</v>
      </c>
      <c r="CX26" s="47">
        <f t="shared" si="49"/>
        <v>0</v>
      </c>
    </row>
    <row r="27" spans="2:102"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6"/>
      <c r="AC27" s="6"/>
      <c r="AD27" s="6"/>
      <c r="AE27" s="6"/>
      <c r="AF27" s="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Y27" s="47"/>
      <c r="BZ27" s="47"/>
      <c r="CA27" s="47"/>
      <c r="CB27" s="47"/>
      <c r="CC27" s="47"/>
      <c r="CD27" s="47"/>
      <c r="CE27" s="47"/>
      <c r="CF27" s="47"/>
      <c r="CH27" s="83"/>
      <c r="CI27" s="83"/>
      <c r="CJ27" s="83"/>
      <c r="CK27" s="83"/>
      <c r="CL27" s="83"/>
      <c r="CM27" s="83"/>
      <c r="CN27" s="83"/>
      <c r="CO27" s="83"/>
      <c r="CQ27" s="47">
        <f t="shared" si="42"/>
        <v>0</v>
      </c>
      <c r="CR27" s="47">
        <f t="shared" si="43"/>
        <v>0</v>
      </c>
      <c r="CS27" s="47">
        <f t="shared" si="44"/>
        <v>0</v>
      </c>
      <c r="CT27" s="47">
        <f t="shared" si="45"/>
        <v>0</v>
      </c>
      <c r="CU27" s="47">
        <f t="shared" si="46"/>
        <v>0</v>
      </c>
      <c r="CV27" s="47">
        <f t="shared" si="47"/>
        <v>0</v>
      </c>
      <c r="CW27" s="47">
        <f t="shared" si="48"/>
        <v>0</v>
      </c>
      <c r="CX27" s="47">
        <f t="shared" si="49"/>
        <v>0</v>
      </c>
    </row>
    <row r="28" spans="2:102"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6"/>
      <c r="AC28" s="6"/>
      <c r="AD28" s="6"/>
      <c r="AE28" s="6"/>
      <c r="AF28" s="6"/>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Y28" s="47"/>
      <c r="BZ28" s="47"/>
      <c r="CA28" s="47"/>
      <c r="CB28" s="47"/>
      <c r="CC28" s="47"/>
      <c r="CD28" s="47"/>
      <c r="CE28" s="47"/>
      <c r="CF28" s="47"/>
      <c r="CH28" s="83"/>
      <c r="CI28" s="83"/>
      <c r="CJ28" s="83"/>
      <c r="CK28" s="83"/>
      <c r="CL28" s="83"/>
      <c r="CM28" s="83"/>
      <c r="CN28" s="83"/>
      <c r="CO28" s="83"/>
      <c r="CQ28" s="47">
        <f t="shared" si="42"/>
        <v>0</v>
      </c>
      <c r="CR28" s="47">
        <f t="shared" si="43"/>
        <v>0</v>
      </c>
      <c r="CS28" s="47">
        <f t="shared" si="44"/>
        <v>0</v>
      </c>
      <c r="CT28" s="47">
        <f t="shared" si="45"/>
        <v>0</v>
      </c>
      <c r="CU28" s="47">
        <f t="shared" si="46"/>
        <v>0</v>
      </c>
      <c r="CV28" s="47">
        <f t="shared" si="47"/>
        <v>0</v>
      </c>
      <c r="CW28" s="47">
        <f t="shared" si="48"/>
        <v>0</v>
      </c>
      <c r="CX28" s="47">
        <f t="shared" si="49"/>
        <v>0</v>
      </c>
    </row>
    <row r="29" spans="2:102"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6"/>
      <c r="AC29" s="6"/>
      <c r="AD29" s="6"/>
      <c r="AE29" s="6"/>
      <c r="AF29" s="6"/>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Y29" s="47"/>
      <c r="BZ29" s="47"/>
      <c r="CA29" s="47"/>
      <c r="CB29" s="47"/>
      <c r="CC29" s="47"/>
      <c r="CD29" s="47"/>
      <c r="CE29" s="47"/>
      <c r="CF29" s="47"/>
      <c r="CH29" s="83"/>
      <c r="CI29" s="83"/>
      <c r="CJ29" s="83"/>
      <c r="CK29" s="83"/>
      <c r="CL29" s="83"/>
      <c r="CM29" s="83"/>
      <c r="CN29" s="83"/>
      <c r="CO29" s="83"/>
      <c r="CQ29" s="47">
        <f t="shared" si="42"/>
        <v>0</v>
      </c>
      <c r="CR29" s="47">
        <f t="shared" si="43"/>
        <v>0</v>
      </c>
      <c r="CS29" s="47">
        <f t="shared" si="44"/>
        <v>0</v>
      </c>
      <c r="CT29" s="47">
        <f t="shared" si="45"/>
        <v>0</v>
      </c>
      <c r="CU29" s="47">
        <f t="shared" si="46"/>
        <v>0</v>
      </c>
      <c r="CV29" s="47">
        <f t="shared" si="47"/>
        <v>0</v>
      </c>
      <c r="CW29" s="47">
        <f t="shared" si="48"/>
        <v>0</v>
      </c>
      <c r="CX29" s="47">
        <f t="shared" si="49"/>
        <v>0</v>
      </c>
    </row>
    <row r="30" spans="2:102"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Y30" s="47"/>
      <c r="BZ30" s="47"/>
      <c r="CA30" s="47"/>
      <c r="CB30" s="47"/>
      <c r="CC30" s="47"/>
      <c r="CD30" s="47"/>
      <c r="CE30" s="47"/>
      <c r="CF30" s="47"/>
      <c r="CH30" s="47"/>
      <c r="CI30" s="47"/>
      <c r="CJ30" s="47"/>
      <c r="CK30" s="47"/>
      <c r="CL30" s="47"/>
      <c r="CM30" s="47"/>
      <c r="CN30" s="47"/>
      <c r="CO30" s="47"/>
      <c r="CQ30" s="47">
        <f t="shared" si="42"/>
        <v>0</v>
      </c>
      <c r="CR30" s="47">
        <f t="shared" si="43"/>
        <v>0</v>
      </c>
      <c r="CS30" s="47">
        <f t="shared" si="44"/>
        <v>0</v>
      </c>
      <c r="CT30" s="47">
        <f t="shared" si="45"/>
        <v>0</v>
      </c>
      <c r="CU30" s="47">
        <f t="shared" si="46"/>
        <v>0</v>
      </c>
      <c r="CV30" s="47">
        <f t="shared" si="47"/>
        <v>0</v>
      </c>
      <c r="CW30" s="47">
        <f t="shared" si="48"/>
        <v>0</v>
      </c>
      <c r="CX30" s="47">
        <f t="shared" si="49"/>
        <v>0</v>
      </c>
    </row>
    <row r="31" spans="2:102"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6"/>
      <c r="AC31" s="6"/>
      <c r="AD31" s="6"/>
      <c r="AE31" s="6"/>
      <c r="AF31" s="6"/>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Y31" s="47"/>
      <c r="BZ31" s="47"/>
      <c r="CA31" s="47"/>
      <c r="CB31" s="47"/>
      <c r="CC31" s="47"/>
      <c r="CD31" s="47"/>
      <c r="CE31" s="47"/>
      <c r="CF31" s="47"/>
      <c r="CH31" s="47"/>
      <c r="CI31" s="47"/>
      <c r="CJ31" s="47"/>
      <c r="CK31" s="47"/>
      <c r="CL31" s="47"/>
      <c r="CM31" s="47"/>
      <c r="CN31" s="47"/>
      <c r="CO31" s="47"/>
      <c r="CQ31" s="47">
        <f t="shared" si="42"/>
        <v>0</v>
      </c>
      <c r="CR31" s="47">
        <f t="shared" si="43"/>
        <v>0</v>
      </c>
      <c r="CS31" s="47">
        <f t="shared" si="44"/>
        <v>0</v>
      </c>
      <c r="CT31" s="47">
        <f t="shared" si="45"/>
        <v>0</v>
      </c>
      <c r="CU31" s="47">
        <f t="shared" si="46"/>
        <v>0</v>
      </c>
      <c r="CV31" s="47">
        <f t="shared" si="47"/>
        <v>0</v>
      </c>
      <c r="CW31" s="47">
        <f t="shared" si="48"/>
        <v>0</v>
      </c>
      <c r="CX31" s="47">
        <f t="shared" si="49"/>
        <v>0</v>
      </c>
    </row>
    <row r="32" spans="2:102"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47">
        <f t="shared" si="42"/>
        <v>0</v>
      </c>
      <c r="CR32" s="47">
        <f t="shared" si="43"/>
        <v>0</v>
      </c>
      <c r="CS32" s="47">
        <f t="shared" si="44"/>
        <v>0</v>
      </c>
      <c r="CT32" s="47">
        <f t="shared" si="45"/>
        <v>0</v>
      </c>
      <c r="CU32" s="47">
        <f t="shared" si="46"/>
        <v>0</v>
      </c>
      <c r="CV32" s="47">
        <f t="shared" si="47"/>
        <v>0</v>
      </c>
      <c r="CW32" s="47">
        <f t="shared" si="48"/>
        <v>0</v>
      </c>
      <c r="CX32" s="47">
        <f t="shared" si="49"/>
        <v>0</v>
      </c>
    </row>
    <row r="33" spans="2:102"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47">
        <f t="shared" si="42"/>
        <v>0</v>
      </c>
      <c r="CR33" s="47">
        <f t="shared" si="43"/>
        <v>0</v>
      </c>
      <c r="CS33" s="47">
        <f t="shared" si="44"/>
        <v>0</v>
      </c>
      <c r="CT33" s="47">
        <f t="shared" si="45"/>
        <v>0</v>
      </c>
      <c r="CU33" s="47">
        <f t="shared" si="46"/>
        <v>0</v>
      </c>
      <c r="CV33" s="47">
        <f t="shared" si="47"/>
        <v>0</v>
      </c>
      <c r="CW33" s="47">
        <f t="shared" si="48"/>
        <v>0</v>
      </c>
      <c r="CX33" s="47">
        <f t="shared" si="49"/>
        <v>0</v>
      </c>
    </row>
    <row r="34" spans="2:102"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47">
        <f t="shared" si="42"/>
        <v>0</v>
      </c>
      <c r="CR34" s="47">
        <f t="shared" si="43"/>
        <v>0</v>
      </c>
      <c r="CS34" s="47">
        <f t="shared" si="44"/>
        <v>0</v>
      </c>
      <c r="CT34" s="47">
        <f t="shared" si="45"/>
        <v>0</v>
      </c>
      <c r="CU34" s="47">
        <f t="shared" si="46"/>
        <v>0</v>
      </c>
      <c r="CV34" s="47">
        <f t="shared" si="47"/>
        <v>0</v>
      </c>
      <c r="CW34" s="47">
        <f t="shared" si="48"/>
        <v>0</v>
      </c>
      <c r="CX34" s="47">
        <f t="shared" si="49"/>
        <v>0</v>
      </c>
    </row>
    <row r="35" spans="2:102"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47">
        <f t="shared" si="42"/>
        <v>0</v>
      </c>
      <c r="CR35" s="47">
        <f t="shared" si="43"/>
        <v>0</v>
      </c>
      <c r="CS35" s="47">
        <f t="shared" si="44"/>
        <v>0</v>
      </c>
      <c r="CT35" s="47">
        <f t="shared" si="45"/>
        <v>0</v>
      </c>
      <c r="CU35" s="47">
        <f t="shared" si="46"/>
        <v>0</v>
      </c>
      <c r="CV35" s="47">
        <f t="shared" si="47"/>
        <v>0</v>
      </c>
      <c r="CW35" s="47">
        <f t="shared" si="48"/>
        <v>0</v>
      </c>
      <c r="CX35" s="47">
        <f t="shared" si="49"/>
        <v>0</v>
      </c>
    </row>
    <row r="36" spans="2:102"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47">
        <f t="shared" si="42"/>
        <v>0</v>
      </c>
      <c r="CR36" s="47">
        <f t="shared" si="43"/>
        <v>0</v>
      </c>
      <c r="CS36" s="47">
        <f t="shared" si="44"/>
        <v>0</v>
      </c>
      <c r="CT36" s="47">
        <f t="shared" si="45"/>
        <v>0</v>
      </c>
      <c r="CU36" s="47">
        <f t="shared" si="46"/>
        <v>0</v>
      </c>
      <c r="CV36" s="47">
        <f t="shared" si="47"/>
        <v>0</v>
      </c>
      <c r="CW36" s="47">
        <f t="shared" si="48"/>
        <v>0</v>
      </c>
      <c r="CX36" s="47">
        <f t="shared" si="49"/>
        <v>0</v>
      </c>
    </row>
    <row r="37" spans="2:102" x14ac:dyDescent="0.3">
      <c r="J37" s="48">
        <f t="shared" ref="J37:Z37" si="57">SUM(J6:J36)</f>
        <v>0</v>
      </c>
      <c r="K37" s="48">
        <f t="shared" si="57"/>
        <v>0</v>
      </c>
      <c r="L37" s="48">
        <f t="shared" si="57"/>
        <v>0</v>
      </c>
      <c r="M37" s="48">
        <f t="shared" si="57"/>
        <v>4317.2759199999991</v>
      </c>
      <c r="N37" s="48">
        <f t="shared" si="57"/>
        <v>4317.2759199999991</v>
      </c>
      <c r="O37" s="48">
        <f t="shared" si="57"/>
        <v>4317.2759199999991</v>
      </c>
      <c r="P37" s="587">
        <f t="shared" si="57"/>
        <v>4317.2759199999991</v>
      </c>
      <c r="Q37" s="48">
        <f t="shared" si="57"/>
        <v>1714.972</v>
      </c>
      <c r="S37" s="48">
        <f t="shared" si="57"/>
        <v>0</v>
      </c>
      <c r="T37" s="48">
        <f t="shared" si="57"/>
        <v>0</v>
      </c>
      <c r="U37" s="48">
        <f t="shared" si="57"/>
        <v>0</v>
      </c>
      <c r="V37" s="48">
        <f t="shared" si="57"/>
        <v>445.34428366885294</v>
      </c>
      <c r="W37" s="48">
        <f t="shared" si="57"/>
        <v>449.91358827724571</v>
      </c>
      <c r="X37" s="48">
        <f t="shared" si="57"/>
        <v>454.75640637676065</v>
      </c>
      <c r="Y37" s="48">
        <f t="shared" si="57"/>
        <v>459.05624609357807</v>
      </c>
      <c r="Z37" s="48">
        <f t="shared" si="57"/>
        <v>183.95779814559106</v>
      </c>
      <c r="AB37" s="48"/>
      <c r="AC37" s="48"/>
      <c r="AD37" s="48"/>
      <c r="AE37" s="48"/>
      <c r="AF37" s="48"/>
      <c r="AG37" s="48">
        <f t="shared" ref="AG37:CR37" si="58">SUM(AG6:AG36)</f>
        <v>0</v>
      </c>
      <c r="AH37" s="48">
        <f t="shared" si="58"/>
        <v>0</v>
      </c>
      <c r="AI37" s="48">
        <f t="shared" si="58"/>
        <v>0</v>
      </c>
      <c r="AJ37" s="48">
        <f t="shared" si="58"/>
        <v>0</v>
      </c>
      <c r="AK37" s="48">
        <f t="shared" si="58"/>
        <v>0</v>
      </c>
      <c r="AL37" s="48">
        <f t="shared" si="58"/>
        <v>0</v>
      </c>
      <c r="AM37" s="48">
        <f t="shared" si="58"/>
        <v>0</v>
      </c>
      <c r="AN37" s="48">
        <f t="shared" si="58"/>
        <v>0</v>
      </c>
      <c r="AO37" s="48">
        <f t="shared" si="58"/>
        <v>0</v>
      </c>
      <c r="AP37" s="48">
        <f t="shared" si="58"/>
        <v>0</v>
      </c>
      <c r="AQ37" s="48">
        <f t="shared" si="58"/>
        <v>0</v>
      </c>
      <c r="AR37" s="48">
        <f t="shared" si="58"/>
        <v>0</v>
      </c>
      <c r="AS37" s="48">
        <f t="shared" si="58"/>
        <v>0</v>
      </c>
      <c r="AT37" s="48">
        <f t="shared" si="58"/>
        <v>0</v>
      </c>
      <c r="AU37" s="48">
        <f t="shared" si="58"/>
        <v>0</v>
      </c>
      <c r="AV37" s="48">
        <f t="shared" si="58"/>
        <v>189.8730365424222</v>
      </c>
      <c r="AW37" s="48">
        <f t="shared" si="58"/>
        <v>0</v>
      </c>
      <c r="AX37" s="48">
        <f t="shared" si="58"/>
        <v>759.49214616968879</v>
      </c>
      <c r="AY37" s="48">
        <f t="shared" si="58"/>
        <v>949.36518271211105</v>
      </c>
      <c r="AZ37" s="48">
        <f t="shared" si="58"/>
        <v>0</v>
      </c>
      <c r="BA37" s="48">
        <f t="shared" si="58"/>
        <v>0</v>
      </c>
      <c r="BB37" s="48">
        <f t="shared" si="58"/>
        <v>189.8730365424222</v>
      </c>
      <c r="BC37" s="48">
        <f t="shared" si="58"/>
        <v>0</v>
      </c>
      <c r="BD37" s="48">
        <f t="shared" si="58"/>
        <v>759.49214616968879</v>
      </c>
      <c r="BE37" s="48">
        <f t="shared" si="58"/>
        <v>949.36518271211105</v>
      </c>
      <c r="BF37" s="48">
        <f t="shared" si="58"/>
        <v>0</v>
      </c>
      <c r="BG37" s="48">
        <f t="shared" si="58"/>
        <v>0</v>
      </c>
      <c r="BH37" s="48">
        <f t="shared" si="58"/>
        <v>189.8730365424222</v>
      </c>
      <c r="BI37" s="48">
        <f t="shared" si="58"/>
        <v>0</v>
      </c>
      <c r="BJ37" s="48">
        <f t="shared" si="58"/>
        <v>759.49214616968879</v>
      </c>
      <c r="BK37" s="48">
        <f t="shared" si="58"/>
        <v>949.36518271211105</v>
      </c>
      <c r="BL37" s="48">
        <f t="shared" si="58"/>
        <v>0</v>
      </c>
      <c r="BM37" s="48">
        <f t="shared" si="58"/>
        <v>0</v>
      </c>
      <c r="BN37" s="48">
        <f t="shared" si="58"/>
        <v>189.8730365424222</v>
      </c>
      <c r="BO37" s="48">
        <f t="shared" si="58"/>
        <v>0</v>
      </c>
      <c r="BP37" s="48">
        <f t="shared" si="58"/>
        <v>759.49214616968879</v>
      </c>
      <c r="BQ37" s="48">
        <f t="shared" si="58"/>
        <v>949.36518271211105</v>
      </c>
      <c r="BR37" s="48">
        <f t="shared" si="58"/>
        <v>0</v>
      </c>
      <c r="BS37" s="48">
        <f t="shared" si="58"/>
        <v>0</v>
      </c>
      <c r="BT37" s="48">
        <f t="shared" si="58"/>
        <v>75.424167289551164</v>
      </c>
      <c r="BU37" s="48">
        <f t="shared" si="58"/>
        <v>0</v>
      </c>
      <c r="BV37" s="48">
        <f t="shared" si="58"/>
        <v>301.69666915820466</v>
      </c>
      <c r="BW37" s="48">
        <f t="shared" si="58"/>
        <v>377.12083644775578</v>
      </c>
      <c r="BY37" s="48">
        <f t="shared" si="58"/>
        <v>0</v>
      </c>
      <c r="BZ37" s="48">
        <f t="shared" si="58"/>
        <v>0</v>
      </c>
      <c r="CA37" s="48">
        <f t="shared" si="58"/>
        <v>0</v>
      </c>
      <c r="CB37" s="48">
        <f t="shared" si="58"/>
        <v>2627.1885751114678</v>
      </c>
      <c r="CC37" s="48">
        <f t="shared" si="58"/>
        <v>2654.1439561584152</v>
      </c>
      <c r="CD37" s="48">
        <f t="shared" si="58"/>
        <v>2682.7128563306001</v>
      </c>
      <c r="CE37" s="48">
        <f t="shared" si="58"/>
        <v>2708.0786018741824</v>
      </c>
      <c r="CF37" s="48">
        <f t="shared" si="58"/>
        <v>1085.2094510100915</v>
      </c>
      <c r="CH37" s="48">
        <f t="shared" si="58"/>
        <v>0</v>
      </c>
      <c r="CI37" s="48">
        <f t="shared" si="58"/>
        <v>0</v>
      </c>
      <c r="CJ37" s="48">
        <f t="shared" si="58"/>
        <v>0</v>
      </c>
      <c r="CK37" s="48">
        <f t="shared" si="58"/>
        <v>393.57648026279702</v>
      </c>
      <c r="CL37" s="48">
        <f t="shared" si="58"/>
        <v>393.57648026279702</v>
      </c>
      <c r="CM37" s="48">
        <f t="shared" si="58"/>
        <v>393.57648026279702</v>
      </c>
      <c r="CN37" s="48">
        <f t="shared" si="58"/>
        <v>393.57648026279702</v>
      </c>
      <c r="CO37" s="48">
        <f t="shared" si="58"/>
        <v>156.34225285032269</v>
      </c>
      <c r="CQ37" s="48">
        <f t="shared" si="58"/>
        <v>0</v>
      </c>
      <c r="CR37" s="48">
        <f t="shared" si="58"/>
        <v>0</v>
      </c>
      <c r="CS37" s="48">
        <f t="shared" ref="CS37:CX37" si="59">SUM(CS6:CS36)</f>
        <v>0</v>
      </c>
      <c r="CT37" s="48">
        <f t="shared" si="59"/>
        <v>4415.4745217552281</v>
      </c>
      <c r="CU37" s="48">
        <f t="shared" si="59"/>
        <v>4446.9992074105694</v>
      </c>
      <c r="CV37" s="48">
        <f t="shared" si="59"/>
        <v>4480.4109256822694</v>
      </c>
      <c r="CW37" s="48">
        <f t="shared" si="59"/>
        <v>4510.0765109426684</v>
      </c>
      <c r="CX37" s="48">
        <f t="shared" si="59"/>
        <v>1802.6303384537612</v>
      </c>
    </row>
    <row r="38" spans="2:102" x14ac:dyDescent="0.3">
      <c r="CQ38" s="85">
        <f t="shared" ref="CQ38:CX38" si="60">IF(ISERROR((CQ37-J37)/J37),0,(CQ37-J37)/J37)</f>
        <v>0</v>
      </c>
      <c r="CR38" s="85">
        <f t="shared" si="60"/>
        <v>0</v>
      </c>
      <c r="CS38" s="85">
        <f t="shared" si="60"/>
        <v>0</v>
      </c>
      <c r="CT38" s="85">
        <f t="shared" si="60"/>
        <v>2.274550053665067E-2</v>
      </c>
      <c r="CU38" s="85">
        <f t="shared" si="60"/>
        <v>3.0047485918057861E-2</v>
      </c>
      <c r="CV38" s="85">
        <f t="shared" si="60"/>
        <v>3.7786560021920094E-2</v>
      </c>
      <c r="CW38" s="588">
        <f t="shared" si="60"/>
        <v>4.4657926552600161E-2</v>
      </c>
      <c r="CX38" s="85">
        <f t="shared" si="60"/>
        <v>5.1113568299518124E-2</v>
      </c>
    </row>
    <row r="39" spans="2:102" x14ac:dyDescent="0.3">
      <c r="M39" s="39"/>
      <c r="N39" s="39"/>
      <c r="O39" s="39"/>
      <c r="P39" s="39"/>
      <c r="Q39" s="39"/>
    </row>
    <row r="40" spans="2:102" x14ac:dyDescent="0.3">
      <c r="M40" s="39"/>
      <c r="N40" s="39"/>
      <c r="O40" s="39"/>
      <c r="P40" s="39"/>
      <c r="Q40" s="39"/>
    </row>
    <row r="41" spans="2:102" x14ac:dyDescent="0.3">
      <c r="M41" s="39"/>
      <c r="N41" s="39"/>
      <c r="O41" s="39"/>
      <c r="P41" s="39"/>
      <c r="Q41" s="39"/>
    </row>
  </sheetData>
  <mergeCells count="11">
    <mergeCell ref="CQ4:CX4"/>
    <mergeCell ref="J3:Q3"/>
    <mergeCell ref="S3:Z3"/>
    <mergeCell ref="BY3:CF3"/>
    <mergeCell ref="CQ3:CX3"/>
    <mergeCell ref="CH3:CO3"/>
    <mergeCell ref="M1:N1"/>
    <mergeCell ref="J4:Q4"/>
    <mergeCell ref="S4:Z4"/>
    <mergeCell ref="BY4:CF4"/>
    <mergeCell ref="CH4:CO4"/>
  </mergeCells>
  <hyperlinks>
    <hyperlink ref="B2" location="Contents!A1" display="Table of Contents" xr:uid="{00000000-0004-0000-0D00-000000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5">
        <x14:dataValidation type="list" errorStyle="warning" showInputMessage="1" showErrorMessage="1" error="Invalid data entered" prompt="Select from drop down list" xr:uid="{00000000-0002-0000-0D00-000000000000}">
          <x14:formula1>
            <xm:f>Lookups!$C$5:$C$13</xm:f>
          </x14:formula1>
          <xm:sqref>E6:E36</xm:sqref>
        </x14:dataValidation>
        <x14:dataValidation type="list" errorStyle="warning" showInputMessage="1" showErrorMessage="1" error="Invalid data entered" prompt="Select from drop down list" xr:uid="{00000000-0002-0000-0D00-000001000000}">
          <x14:formula1>
            <xm:f>Lookups!$C$16:$C$27</xm:f>
          </x14:formula1>
          <xm:sqref>F6:F36</xm:sqref>
        </x14:dataValidation>
        <x14:dataValidation type="list" errorStyle="warning" allowBlank="1" showInputMessage="1" showErrorMessage="1" prompt="Select from drop down list" xr:uid="{00000000-0002-0000-0D00-000002000000}">
          <x14:formula1>
            <xm:f>Lab_Mat!$C$62:$C$98</xm:f>
          </x14:formula1>
          <xm:sqref>I6:I36</xm:sqref>
        </x14:dataValidation>
        <x14:dataValidation type="list" errorStyle="warning" showInputMessage="1" showErrorMessage="1" error="Invalid data entered" prompt="Select from drop down list" xr:uid="{00000000-0002-0000-0D00-000003000000}">
          <x14:formula1>
            <xm:f>Lookups!$I$5:$I$10</xm:f>
          </x14:formula1>
          <xm:sqref>G6:G36</xm:sqref>
        </x14:dataValidation>
        <x14:dataValidation type="list" errorStyle="warning" allowBlank="1" showInputMessage="1" showErrorMessage="1" prompt="Select from drop down list" xr:uid="{00000000-0002-0000-0D00-000004000000}">
          <x14:formula1>
            <xm:f>Lab_Mat!$C$13:$C$22</xm:f>
          </x14:formula1>
          <xm:sqref>H6:H36</xm:sqref>
        </x14:dataValidation>
      </x14:dataValidations>
    </ex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B1:CX40"/>
  <sheetViews>
    <sheetView zoomScale="70" zoomScaleNormal="70" zoomScalePageLayoutView="125" workbookViewId="0">
      <pane xSplit="4" topLeftCell="R1" activePane="topRight" state="frozen"/>
      <selection activeCell="K29" sqref="K29"/>
      <selection pane="topRight" activeCell="AY22" sqref="AY22"/>
    </sheetView>
  </sheetViews>
  <sheetFormatPr defaultColWidth="8.88671875" defaultRowHeight="14.4" outlineLevelCol="1" x14ac:dyDescent="0.3"/>
  <cols>
    <col min="1" max="1" width="4" style="1" customWidth="1"/>
    <col min="2" max="2" width="8.88671875" style="1"/>
    <col min="3" max="3" width="53" style="1" customWidth="1"/>
    <col min="4" max="4" width="20.33203125" style="1" customWidth="1"/>
    <col min="5" max="5" width="24.44140625" style="1" hidden="1" customWidth="1" outlineLevel="1"/>
    <col min="6" max="6" width="22.6640625" style="1" hidden="1" customWidth="1" outlineLevel="1"/>
    <col min="7" max="7" width="27.5546875" style="1" hidden="1" customWidth="1" outlineLevel="1"/>
    <col min="8" max="8" width="28.44140625" style="1" hidden="1" customWidth="1" outlineLevel="1"/>
    <col min="9" max="9" width="18.33203125" style="1" hidden="1" customWidth="1" outlineLevel="1"/>
    <col min="10" max="10" width="9.6640625" style="1" customWidth="1" collapsed="1"/>
    <col min="11" max="17" width="9.6640625" style="1" customWidth="1"/>
    <col min="18" max="18" width="3"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0"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2.6640625" style="1" customWidth="1"/>
    <col min="77" max="84" width="8.88671875" style="1"/>
    <col min="85" max="85" width="2.88671875" style="1" customWidth="1"/>
    <col min="86" max="93" width="8.88671875" style="1"/>
    <col min="94" max="94" width="2.88671875" style="1" customWidth="1"/>
    <col min="95" max="16384" width="8.88671875" style="1"/>
  </cols>
  <sheetData>
    <row r="1" spans="2:102" ht="18" x14ac:dyDescent="0.35">
      <c r="B1" s="10" t="s">
        <v>132</v>
      </c>
      <c r="M1" s="582"/>
      <c r="N1" s="582"/>
    </row>
    <row r="2" spans="2:102" x14ac:dyDescent="0.3">
      <c r="B2" s="25" t="s">
        <v>6</v>
      </c>
    </row>
    <row r="3" spans="2:102" x14ac:dyDescent="0.3">
      <c r="J3" s="592"/>
      <c r="K3" s="592"/>
      <c r="L3" s="592"/>
      <c r="M3" s="592"/>
      <c r="N3" s="592"/>
      <c r="O3" s="592"/>
      <c r="P3" s="592"/>
      <c r="Q3" s="592"/>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2:102" ht="43.2" x14ac:dyDescent="0.3">
      <c r="J4" s="589" t="s">
        <v>378</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237</v>
      </c>
      <c r="CR4" s="590"/>
      <c r="CS4" s="590"/>
      <c r="CT4" s="590"/>
      <c r="CU4" s="590"/>
      <c r="CV4" s="590"/>
      <c r="CW4" s="590"/>
      <c r="CX4" s="591"/>
    </row>
    <row r="5" spans="2:102"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f>Stub</f>
        <v>44377</v>
      </c>
      <c r="CT5" s="335">
        <f>Yr_1</f>
        <v>44742</v>
      </c>
      <c r="CU5" s="335">
        <f>Yr_2</f>
        <v>45107</v>
      </c>
      <c r="CV5" s="335">
        <f>Yr_3</f>
        <v>45473</v>
      </c>
      <c r="CW5" s="335">
        <f>Yr_4</f>
        <v>45838</v>
      </c>
      <c r="CX5" s="335">
        <f>Yr_5</f>
        <v>46203</v>
      </c>
    </row>
    <row r="6" spans="2:102" x14ac:dyDescent="0.3">
      <c r="B6" s="7"/>
      <c r="C6" s="7" t="s">
        <v>570</v>
      </c>
      <c r="D6" s="7" t="s">
        <v>112</v>
      </c>
      <c r="E6" s="7" t="s">
        <v>48</v>
      </c>
      <c r="F6" s="7" t="s">
        <v>48</v>
      </c>
      <c r="G6" s="7" t="s">
        <v>150</v>
      </c>
      <c r="H6" s="7" t="s">
        <v>323</v>
      </c>
      <c r="I6" s="7" t="s">
        <v>240</v>
      </c>
      <c r="J6" s="45"/>
      <c r="K6" s="45"/>
      <c r="L6" s="45"/>
      <c r="M6" s="45">
        <v>2307</v>
      </c>
      <c r="N6" s="45">
        <v>2307</v>
      </c>
      <c r="O6" s="45">
        <v>1403</v>
      </c>
      <c r="P6" s="45">
        <v>0</v>
      </c>
      <c r="Q6" s="45">
        <v>0</v>
      </c>
      <c r="S6" s="47">
        <f>INDEX(Direct_Cost_Splits_Network,MATCH($H6,RIN_Asset_Cat_Network,0),MATCH($S$4,Direct_Cost_Type,0))*J6*HLOOKUP(S$5,Escalators!$I$25:$U$30,3,FALSE)</f>
        <v>0</v>
      </c>
      <c r="T6" s="47">
        <f>INDEX(Direct_Cost_Splits_Network,MATCH($H6,RIN_Asset_Cat_Network,0),MATCH($S$4,Direct_Cost_Type,0))*K6*HLOOKUP(T$5,Escalators!$I$25:$U$30,3,FALSE)</f>
        <v>0</v>
      </c>
      <c r="U6" s="47">
        <f>INDEX(Direct_Cost_Splits_Network,MATCH($H6,RIN_Asset_Cat_Network,0),MATCH($S$4,Direct_Cost_Type,0))*L6*HLOOKUP(U$5,Escalators!$I$25:$U$30,3,FALSE)</f>
        <v>0</v>
      </c>
      <c r="V6" s="47">
        <f>INDEX(Direct_Cost_Splits_Network,MATCH($H6,RIN_Asset_Cat_Network,0),MATCH($S$4,Direct_Cost_Type,0))*M6*HLOOKUP(V$5,Escalators!$I$25:$U$30,3,FALSE)</f>
        <v>237.97627982601671</v>
      </c>
      <c r="W6" s="47">
        <f>INDEX(Direct_Cost_Splits_Network,MATCH($H6,RIN_Asset_Cat_Network,0),MATCH($S$4,Direct_Cost_Type,0))*N6*HLOOKUP(W$5,Escalators!$I$25:$U$30,3,FALSE)</f>
        <v>240.41795506913209</v>
      </c>
      <c r="X6" s="47">
        <f>INDEX(Direct_Cost_Splits_Network,MATCH($H6,RIN_Asset_Cat_Network,0),MATCH($S$4,Direct_Cost_Type,0))*O6*HLOOKUP(X$5,Escalators!$I$25:$U$30,3,FALSE)</f>
        <v>147.78375298899016</v>
      </c>
      <c r="Y6" s="47">
        <f>INDEX(Direct_Cost_Splits_Network,MATCH($H6,RIN_Asset_Cat_Network,0),MATCH($S$4,Direct_Cost_Type,0))*P6*HLOOKUP(Y$5,Escalators!$I$25:$U$30,3,FALSE)</f>
        <v>0</v>
      </c>
      <c r="Z6" s="47">
        <f>INDEX(Direct_Cost_Splits_Network,MATCH($H6,RIN_Asset_Cat_Network,0),MATCH($S$4,Direct_Cost_Type,0))*Q6*HLOOKUP(Z$5,Escalators!$I$25:$U$30,3,FALSE)</f>
        <v>0</v>
      </c>
      <c r="AB6" s="47">
        <f>INDEX(Direct_Cost_Splits_Network,MATCH($H6,RIN_Asset_Cat_Network,0),MATCH($AG$4,Direct_Cost_Type,0))*$J6*INDEX(Act_Type_Repex_Splits,MATCH($I6,Act_Type_Repex,0),MATCH(AB$4,Mat_Type,0))*INDEX(Escalators!$I$44:$Q$49,MATCH(AB$4,Escalators!$C$44:$C$49,0),MATCH(AB$5,Escalators!$I$43:$Q$43,0))</f>
        <v>0</v>
      </c>
      <c r="AC6" s="47">
        <f>INDEX(Direct_Cost_Splits_Network,MATCH($H6,RIN_Asset_Cat_Network,0),MATCH($AG$4,Direct_Cost_Type,0))*$J6*INDEX(Act_Type_Repex_Splits,MATCH($I6,Act_Type_Repex,0),MATCH(AC$4,Mat_Type,0))*INDEX(Escalators!$I$44:$Q$49,MATCH(AC$4,Escalators!$C$44:$C$49,0),MATCH(AC$5,Escalators!$I$43:$Q$43,0))</f>
        <v>0</v>
      </c>
      <c r="AD6" s="47">
        <f>INDEX(Direct_Cost_Splits_Network,MATCH($H6,RIN_Asset_Cat_Network,0),MATCH($AG$4,Direct_Cost_Type,0))*$J6*INDEX(Act_Type_Repex_Splits,MATCH($I6,Act_Type_Repex,0),MATCH(AD$4,Mat_Type,0))*INDEX(Escalators!$I$44:$Q$49,MATCH(AD$4,Escalators!$C$44:$C$49,0),MATCH(AD$5,Escalators!$I$43:$Q$43,0))</f>
        <v>0</v>
      </c>
      <c r="AE6" s="47">
        <f>INDEX(Direct_Cost_Splits_Network,MATCH($H6,RIN_Asset_Cat_Network,0),MATCH($AG$4,Direct_Cost_Type,0))*$J6*INDEX(Act_Type_Repex_Splits,MATCH($I6,Act_Type_Repex,0),MATCH(AE$4,Mat_Type,0))*INDEX(Escalators!$I$44:$Q$49,MATCH(AE$4,Escalators!$C$44:$C$49,0),MATCH(AE$5,Escalators!$I$43:$Q$43,0))</f>
        <v>0</v>
      </c>
      <c r="AF6" s="47">
        <f>INDEX(Direct_Cost_Splits_Network,MATCH($H6,RIN_Asset_Cat_Network,0),MATCH($AG$4,Direct_Cost_Type,0))*$J6*INDEX(Act_Type_Repex_Splits,MATCH($I6,Act_Type_Repex,0),MATCH(AF$4,Mat_Type,0))*INDEX(Escalators!$I$44:$Q$49,MATCH(AF$4,Escalators!$C$44:$C$49,0),MATCH(AF$5,Escalators!$I$43:$Q$43,0))</f>
        <v>0</v>
      </c>
      <c r="AG6" s="47">
        <f>SUM(AB6:AF6)</f>
        <v>0</v>
      </c>
      <c r="AH6" s="47">
        <f>INDEX(Direct_Cost_Splits_Network,MATCH($H6,RIN_Asset_Cat_Network,0),MATCH($AY$4,Direct_Cost_Type,0))*$K6*INDEX(Act_Type_Repex_Splits,MATCH($I6,Act_Type_Repex,0),MATCH(AH$4,Mat_Type,0))*INDEX(Escalators!$I$44:$U$49,MATCH(AH$4,Escalators!$C$44:$C$49,0),MATCH(AH$5,Escalators!$I$43:$U$43,0))</f>
        <v>0</v>
      </c>
      <c r="AI6" s="47">
        <f>INDEX(Direct_Cost_Splits_Network,MATCH($H6,RIN_Asset_Cat_Network,0),MATCH($AY$4,Direct_Cost_Type,0))*$K6*INDEX(Act_Type_Repex_Splits,MATCH($I6,Act_Type_Repex,0),MATCH(AI$4,Mat_Type,0))*INDEX(Escalators!$I$44:$U$49,MATCH(AI$4,Escalators!$C$44:$C$49,0),MATCH(AI$5,Escalators!$I$43:$U$43,0))</f>
        <v>0</v>
      </c>
      <c r="AJ6" s="47">
        <f>INDEX(Direct_Cost_Splits_Network,MATCH($H6,RIN_Asset_Cat_Network,0),MATCH($AY$4,Direct_Cost_Type,0))*$K6*INDEX(Act_Type_Repex_Splits,MATCH($I6,Act_Type_Repex,0),MATCH(AJ$4,Mat_Type,0))*INDEX(Escalators!$I$44:$U$49,MATCH(AJ$4,Escalators!$C$44:$C$49,0),MATCH(AJ$5,Escalators!$I$43:$U$43,0))</f>
        <v>0</v>
      </c>
      <c r="AK6" s="47">
        <f>INDEX(Direct_Cost_Splits_Network,MATCH($H6,RIN_Asset_Cat_Network,0),MATCH($AY$4,Direct_Cost_Type,0))*$K6*INDEX(Act_Type_Repex_Splits,MATCH($I6,Act_Type_Repex,0),MATCH(AK$4,Mat_Type,0))*INDEX(Escalators!$I$44:$U$49,MATCH(AK$4,Escalators!$C$44:$C$49,0),MATCH(AK$5,Escalators!$I$43:$U$43,0))</f>
        <v>0</v>
      </c>
      <c r="AL6" s="47">
        <f>INDEX(Direct_Cost_Splits_Network,MATCH($H6,RIN_Asset_Cat_Network,0),MATCH($AY$4,Direct_Cost_Type,0))*$K6*INDEX(Act_Type_Repex_Splits,MATCH($I6,Act_Type_Repex,0),MATCH(AL$4,Mat_Type,0))*INDEX(Escalators!$I$44:$U$49,MATCH(AL$4,Escalators!$C$44:$C$49,0),MATCH(AL$5,Escalators!$I$43:$U$43,0))</f>
        <v>0</v>
      </c>
      <c r="AM6" s="47">
        <f>SUM(AH6:AL6)</f>
        <v>0</v>
      </c>
      <c r="AN6" s="47">
        <f>INDEX(Direct_Cost_Splits_Network,MATCH($H6,RIN_Asset_Cat_Network,0),MATCH($AY$4,Direct_Cost_Type,0))*$L6*INDEX(Act_Type_Repex_Splits,MATCH($I6,Act_Type_Repex,0),MATCH(AN$4,Mat_Type,0))*INDEX(Escalators!$I$44:$U$49,MATCH(AN$4,Escalators!$C$44:$C$49,0),MATCH(AN$5,Escalators!$I$43:$U$43,0))</f>
        <v>0</v>
      </c>
      <c r="AO6" s="47">
        <f>INDEX(Direct_Cost_Splits_Network,MATCH($H6,RIN_Asset_Cat_Network,0),MATCH($AY$4,Direct_Cost_Type,0))*$L6*INDEX(Act_Type_Repex_Splits,MATCH($I6,Act_Type_Repex,0),MATCH(AO$4,Mat_Type,0))*INDEX(Escalators!$I$44:$U$49,MATCH(AO$4,Escalators!$C$44:$C$49,0),MATCH(AO$5,Escalators!$I$43:$U$43,0))</f>
        <v>0</v>
      </c>
      <c r="AP6" s="47">
        <f>INDEX(Direct_Cost_Splits_Network,MATCH($H6,RIN_Asset_Cat_Network,0),MATCH($AY$4,Direct_Cost_Type,0))*$L6*INDEX(Act_Type_Repex_Splits,MATCH($I6,Act_Type_Repex,0),MATCH(AP$4,Mat_Type,0))*INDEX(Escalators!$I$44:$U$49,MATCH(AP$4,Escalators!$C$44:$C$49,0),MATCH(AP$5,Escalators!$I$43:$U$43,0))</f>
        <v>0</v>
      </c>
      <c r="AQ6" s="47">
        <f>INDEX(Direct_Cost_Splits_Network,MATCH($H6,RIN_Asset_Cat_Network,0),MATCH($AY$4,Direct_Cost_Type,0))*$L6*INDEX(Act_Type_Repex_Splits,MATCH($I6,Act_Type_Repex,0),MATCH(AQ$4,Mat_Type,0))*INDEX(Escalators!$I$44:$U$49,MATCH(AQ$4,Escalators!$C$44:$C$49,0),MATCH(AQ$5,Escalators!$I$43:$U$43,0))</f>
        <v>0</v>
      </c>
      <c r="AR6" s="47">
        <f>INDEX(Direct_Cost_Splits_Network,MATCH($H6,RIN_Asset_Cat_Network,0),MATCH($AY$4,Direct_Cost_Type,0))*$L6*INDEX(Act_Type_Repex_Splits,MATCH($I6,Act_Type_Repex,0),MATCH(AR$4,Mat_Type,0))*INDEX(Escalators!$I$44:$U$49,MATCH(AR$4,Escalators!$C$44:$C$49,0),MATCH(AR$5,Escalators!$I$43:$U$43,0))</f>
        <v>0</v>
      </c>
      <c r="AS6" s="47">
        <f>SUM(AN6:AR6)</f>
        <v>0</v>
      </c>
      <c r="AT6" s="47">
        <f>INDEX(Direct_Cost_Splits_Network,MATCH($H6,RIN_Asset_Cat_Network,0),MATCH($AY$4,Direct_Cost_Type,0))*$M6*INDEX(Act_Type_Repex_Splits,MATCH($I6,Act_Type_Repex,0),MATCH(AT$4,Mat_Type,0))*INDEX(Escalators!$I$44:$U$49,MATCH(AT$4,Escalators!$C$44:$C$49,0),MATCH(AT$5,Escalators!$I$43:$U$43,0))</f>
        <v>0</v>
      </c>
      <c r="AU6" s="47">
        <f>INDEX(Direct_Cost_Splits_Network,MATCH($H6,RIN_Asset_Cat_Network,0),MATCH($AY$4,Direct_Cost_Type,0))*$M6*INDEX(Act_Type_Repex_Splits,MATCH($I6,Act_Type_Repex,0),MATCH(AU$4,Mat_Type,0))*INDEX(Escalators!$I$44:$U$49,MATCH(AU$4,Escalators!$C$44:$C$49,0),MATCH(AU$5,Escalators!$I$43:$U$43,0))</f>
        <v>0</v>
      </c>
      <c r="AV6" s="47">
        <f>INDEX(Direct_Cost_Splits_Network,MATCH($H6,RIN_Asset_Cat_Network,0),MATCH($AY$4,Direct_Cost_Type,0))*$M6*INDEX(Act_Type_Repex_Splits,MATCH($I6,Act_Type_Repex,0),MATCH(AV$4,Mat_Type,0))*INDEX(Escalators!$I$44:$U$49,MATCH(AV$4,Escalators!$C$44:$C$49,0),MATCH(AV$5,Escalators!$I$43:$U$43,0))</f>
        <v>101.46145472753756</v>
      </c>
      <c r="AW6" s="47">
        <f>INDEX(Direct_Cost_Splits_Network,MATCH($H6,RIN_Asset_Cat_Network,0),MATCH($AY$4,Direct_Cost_Type,0))*$M6*INDEX(Act_Type_Repex_Splits,MATCH($I6,Act_Type_Repex,0),MATCH(AW$4,Mat_Type,0))*INDEX(Escalators!$I$44:$U$49,MATCH(AW$4,Escalators!$C$44:$C$49,0),MATCH(AW$5,Escalators!$I$43:$U$43,0))</f>
        <v>0</v>
      </c>
      <c r="AX6" s="47">
        <f>INDEX(Direct_Cost_Splits_Network,MATCH($H6,RIN_Asset_Cat_Network,0),MATCH($AY$4,Direct_Cost_Type,0))*$M6*INDEX(Act_Type_Repex_Splits,MATCH($I6,Act_Type_Repex,0),MATCH(AX$4,Mat_Type,0))*INDEX(Escalators!$I$44:$U$49,MATCH(AX$4,Escalators!$C$44:$C$49,0),MATCH(AX$5,Escalators!$I$43:$U$43,0))</f>
        <v>405.84581891015023</v>
      </c>
      <c r="AY6" s="47">
        <f>SUM(AT6:AX6)</f>
        <v>507.30727363768779</v>
      </c>
      <c r="AZ6" s="47">
        <f>INDEX(Direct_Cost_Splits_Network,MATCH($H6,RIN_Asset_Cat_Network,0),MATCH($BE$4,Direct_Cost_Type,0))*$N6*INDEX(Act_Type_Repex_Splits,MATCH($I6,Act_Type_Repex,0),MATCH(AZ$4,Mat_Type,0))*INDEX(Escalators!$I$44:$U$49,MATCH(AZ$4,Escalators!$C$44:$C$49,0),MATCH(AZ$5,Escalators!$I$43:$U$43,0))</f>
        <v>0</v>
      </c>
      <c r="BA6" s="47">
        <f>INDEX(Direct_Cost_Splits_Network,MATCH($H6,RIN_Asset_Cat_Network,0),MATCH($BE$4,Direct_Cost_Type,0))*$N6*INDEX(Act_Type_Repex_Splits,MATCH($I6,Act_Type_Repex,0),MATCH(BA$4,Mat_Type,0))*INDEX(Escalators!$I$44:$U$49,MATCH(BA$4,Escalators!$C$44:$C$49,0),MATCH(BA$5,Escalators!$I$43:$U$43,0))</f>
        <v>0</v>
      </c>
      <c r="BB6" s="47">
        <f>INDEX(Direct_Cost_Splits_Network,MATCH($H6,RIN_Asset_Cat_Network,0),MATCH($BE$4,Direct_Cost_Type,0))*$N6*INDEX(Act_Type_Repex_Splits,MATCH($I6,Act_Type_Repex,0),MATCH(BB$4,Mat_Type,0))*INDEX(Escalators!$I$44:$U$49,MATCH(BB$4,Escalators!$C$44:$C$49,0),MATCH(BB$5,Escalators!$I$43:$U$43,0))</f>
        <v>101.46145472753756</v>
      </c>
      <c r="BC6" s="47">
        <f>INDEX(Direct_Cost_Splits_Network,MATCH($H6,RIN_Asset_Cat_Network,0),MATCH($BE$4,Direct_Cost_Type,0))*$N6*INDEX(Act_Type_Repex_Splits,MATCH($I6,Act_Type_Repex,0),MATCH(BC$4,Mat_Type,0))*INDEX(Escalators!$I$44:$U$49,MATCH(BC$4,Escalators!$C$44:$C$49,0),MATCH(BC$5,Escalators!$I$43:$U$43,0))</f>
        <v>0</v>
      </c>
      <c r="BD6" s="47">
        <f>INDEX(Direct_Cost_Splits_Network,MATCH($H6,RIN_Asset_Cat_Network,0),MATCH($BE$4,Direct_Cost_Type,0))*$N6*INDEX(Act_Type_Repex_Splits,MATCH($I6,Act_Type_Repex,0),MATCH(BD$4,Mat_Type,0))*INDEX(Escalators!$I$44:$U$49,MATCH(BD$4,Escalators!$C$44:$C$49,0),MATCH(BD$5,Escalators!$I$43:$U$43,0))</f>
        <v>405.84581891015023</v>
      </c>
      <c r="BE6" s="47">
        <f>SUM(AZ6:BD6)</f>
        <v>507.30727363768779</v>
      </c>
      <c r="BF6" s="47">
        <f>INDEX(Direct_Cost_Splits_Network,MATCH($H6,RIN_Asset_Cat_Network,0),MATCH($BK$4,Direct_Cost_Type,0))*$O6*INDEX(Act_Type_Repex_Splits,MATCH($I6,Act_Type_Repex,0),MATCH(BF$4,Mat_Type,0))*INDEX(Escalators!$I$44:$U$49,MATCH(BF$4,Escalators!$C$44:$C$49,0),MATCH(BF$5,Escalators!$I$43:$U$43,0))</f>
        <v>0</v>
      </c>
      <c r="BG6" s="47">
        <f>INDEX(Direct_Cost_Splits_Network,MATCH($H6,RIN_Asset_Cat_Network,0),MATCH($BK$4,Direct_Cost_Type,0))*$O6*INDEX(Act_Type_Repex_Splits,MATCH($I6,Act_Type_Repex,0),MATCH(BG$4,Mat_Type,0))*INDEX(Escalators!$I$44:$U$49,MATCH(BG$4,Escalators!$C$44:$C$49,0),MATCH(BG$5,Escalators!$I$43:$U$43,0))</f>
        <v>0</v>
      </c>
      <c r="BH6" s="47">
        <f>INDEX(Direct_Cost_Splits_Network,MATCH($H6,RIN_Asset_Cat_Network,0),MATCH($BK$4,Direct_Cost_Type,0))*$O6*INDEX(Act_Type_Repex_Splits,MATCH($I6,Act_Type_Repex,0),MATCH(BH$4,Mat_Type,0))*INDEX(Escalators!$I$44:$U$49,MATCH(BH$4,Escalators!$C$44:$C$49,0),MATCH(BH$5,Escalators!$I$43:$U$43,0))</f>
        <v>61.703693533912087</v>
      </c>
      <c r="BI6" s="47">
        <f>INDEX(Direct_Cost_Splits_Network,MATCH($H6,RIN_Asset_Cat_Network,0),MATCH($BK$4,Direct_Cost_Type,0))*$O6*INDEX(Act_Type_Repex_Splits,MATCH($I6,Act_Type_Repex,0),MATCH(BI$4,Mat_Type,0))*INDEX(Escalators!$I$44:$U$49,MATCH(BI$4,Escalators!$C$44:$C$49,0),MATCH(BI$5,Escalators!$I$43:$U$43,0))</f>
        <v>0</v>
      </c>
      <c r="BJ6" s="47">
        <f>INDEX(Direct_Cost_Splits_Network,MATCH($H6,RIN_Asset_Cat_Network,0),MATCH($BK$4,Direct_Cost_Type,0))*$O6*INDEX(Act_Type_Repex_Splits,MATCH($I6,Act_Type_Repex,0),MATCH(BJ$4,Mat_Type,0))*INDEX(Escalators!$I$44:$U$49,MATCH(BJ$4,Escalators!$C$44:$C$49,0),MATCH(BJ$5,Escalators!$I$43:$U$43,0))</f>
        <v>246.81477413564835</v>
      </c>
      <c r="BK6" s="47">
        <f>SUM(BF6:BJ6)</f>
        <v>308.51846766956044</v>
      </c>
      <c r="BL6" s="47">
        <f>INDEX(Direct_Cost_Splits_Network,MATCH($H6,RIN_Asset_Cat_Network,0),MATCH($BQ$4,Direct_Cost_Type,0))*$P6*INDEX(Act_Type_Repex_Splits,MATCH($I6,Act_Type_Repex,0),MATCH(BL$4,Mat_Type,0))*INDEX(Escalators!$I$44:$U$49,MATCH(BL$4,Escalators!$C$44:$C$49,0),MATCH(BL$5,Escalators!$I$43:$U$43,0))</f>
        <v>0</v>
      </c>
      <c r="BM6" s="47">
        <f>INDEX(Direct_Cost_Splits_Network,MATCH($H6,RIN_Asset_Cat_Network,0),MATCH($BQ$4,Direct_Cost_Type,0))*$P6*INDEX(Act_Type_Repex_Splits,MATCH($I6,Act_Type_Repex,0),MATCH(BM$4,Mat_Type,0))*INDEX(Escalators!$I$44:$U$49,MATCH(BM$4,Escalators!$C$44:$C$49,0),MATCH(BM$5,Escalators!$I$43:$U$43,0))</f>
        <v>0</v>
      </c>
      <c r="BN6" s="47">
        <f>INDEX(Direct_Cost_Splits_Network,MATCH($H6,RIN_Asset_Cat_Network,0),MATCH($BQ$4,Direct_Cost_Type,0))*$P6*INDEX(Act_Type_Repex_Splits,MATCH($I6,Act_Type_Repex,0),MATCH(BN$4,Mat_Type,0))*INDEX(Escalators!$I$44:$U$49,MATCH(BN$4,Escalators!$C$44:$C$49,0),MATCH(BN$5,Escalators!$I$43:$U$43,0))</f>
        <v>0</v>
      </c>
      <c r="BO6" s="47">
        <f>INDEX(Direct_Cost_Splits_Network,MATCH($H6,RIN_Asset_Cat_Network,0),MATCH($BQ$4,Direct_Cost_Type,0))*$P6*INDEX(Act_Type_Repex_Splits,MATCH($I6,Act_Type_Repex,0),MATCH(BO$4,Mat_Type,0))*INDEX(Escalators!$I$44:$U$49,MATCH(BO$4,Escalators!$C$44:$C$49,0),MATCH(BO$5,Escalators!$I$43:$U$43,0))</f>
        <v>0</v>
      </c>
      <c r="BP6" s="47">
        <f>INDEX(Direct_Cost_Splits_Network,MATCH($H6,RIN_Asset_Cat_Network,0),MATCH($BQ$4,Direct_Cost_Type,0))*$P6*INDEX(Act_Type_Repex_Splits,MATCH($I6,Act_Type_Repex,0),MATCH(BP$4,Mat_Type,0))*INDEX(Escalators!$I$44:$U$49,MATCH(BP$4,Escalators!$C$44:$C$49,0),MATCH(BP$5,Escalators!$I$43:$U$43,0))</f>
        <v>0</v>
      </c>
      <c r="BQ6" s="47">
        <f>SUM(BL6:BP6)</f>
        <v>0</v>
      </c>
      <c r="BR6" s="47">
        <f>INDEX(Direct_Cost_Splits_Network,MATCH($H6,RIN_Asset_Cat_Network,0),MATCH($BW$4,Direct_Cost_Type,0))*$Q6*INDEX(Act_Type_Repex_Splits,MATCH($I6,Act_Type_Repex,0),MATCH(BR$4,Mat_Type,0))*INDEX(Escalators!$I$44:$U$49,MATCH(BR$4,Escalators!$C$44:$C$49,0),MATCH(BR$5,Escalators!$I$43:$U$43,0))</f>
        <v>0</v>
      </c>
      <c r="BS6" s="47">
        <f>INDEX(Direct_Cost_Splits_Network,MATCH($H6,RIN_Asset_Cat_Network,0),MATCH($BW$4,Direct_Cost_Type,0))*$Q6*INDEX(Act_Type_Repex_Splits,MATCH($I6,Act_Type_Repex,0),MATCH(BS$4,Mat_Type,0))*INDEX(Escalators!$I$44:$U$49,MATCH(BS$4,Escalators!$C$44:$C$49,0),MATCH(BS$5,Escalators!$I$43:$U$43,0))</f>
        <v>0</v>
      </c>
      <c r="BT6" s="47">
        <f>INDEX(Direct_Cost_Splits_Network,MATCH($H6,RIN_Asset_Cat_Network,0),MATCH($BW$4,Direct_Cost_Type,0))*$Q6*INDEX(Act_Type_Repex_Splits,MATCH($I6,Act_Type_Repex,0),MATCH(BT$4,Mat_Type,0))*INDEX(Escalators!$I$44:$U$49,MATCH(BT$4,Escalators!$C$44:$C$49,0),MATCH(BT$5,Escalators!$I$43:$U$43,0))</f>
        <v>0</v>
      </c>
      <c r="BU6" s="47">
        <f>INDEX(Direct_Cost_Splits_Network,MATCH($H6,RIN_Asset_Cat_Network,0),MATCH($BW$4,Direct_Cost_Type,0))*$Q6*INDEX(Act_Type_Repex_Splits,MATCH($I6,Act_Type_Repex,0),MATCH(BU$4,Mat_Type,0))*INDEX(Escalators!$I$44:$U$49,MATCH(BU$4,Escalators!$C$44:$C$49,0),MATCH(BU$5,Escalators!$I$43:$U$43,0))</f>
        <v>0</v>
      </c>
      <c r="BV6" s="47">
        <f>INDEX(Direct_Cost_Splits_Network,MATCH($H6,RIN_Asset_Cat_Network,0),MATCH($BW$4,Direct_Cost_Type,0))*$Q6*INDEX(Act_Type_Repex_Splits,MATCH($I6,Act_Type_Repex,0),MATCH(BV$4,Mat_Type,0))*INDEX(Escalators!$I$44:$U$49,MATCH(BV$4,Escalators!$C$44:$C$49,0),MATCH(BV$5,Escalators!$I$43:$U$43,0))</f>
        <v>0</v>
      </c>
      <c r="BW6" s="47">
        <f>SUM(BR6:BV6)</f>
        <v>0</v>
      </c>
      <c r="BY6" s="47">
        <f>INDEX(Direct_Cost_Splits_Network,MATCH($H6,RIN_Asset_Cat_Network,0),MATCH($BY$4,Direct_Cost_Type,0))*J6*HLOOKUP(BY$5,Escalators!$I$25:$U$30,6,FALSE)</f>
        <v>0</v>
      </c>
      <c r="BZ6" s="47">
        <f>INDEX(Direct_Cost_Splits_Network,MATCH($H6,RIN_Asset_Cat_Network,0),MATCH($BY$4,Direct_Cost_Type,0))*K6*HLOOKUP(BZ$5,Escalators!$I$25:$U$30,6,FALSE)</f>
        <v>0</v>
      </c>
      <c r="CA6" s="47">
        <f>INDEX(Direct_Cost_Splits_Network,MATCH($H6,RIN_Asset_Cat_Network,0),MATCH($BY$4,Direct_Cost_Type,0))*L6*HLOOKUP(CA$5,Escalators!$I$25:$U$30,6,FALSE)</f>
        <v>0</v>
      </c>
      <c r="CB6" s="47">
        <f>INDEX(Direct_Cost_Splits_Network,MATCH($H6,RIN_Asset_Cat_Network,0),MATCH($BY$4,Direct_Cost_Type,0))*M6*HLOOKUP(CB$5,Escalators!$I$25:$U$30,6,FALSE)</f>
        <v>1403.8769249620154</v>
      </c>
      <c r="CC6" s="47">
        <f>INDEX(Direct_Cost_Splits_Network,MATCH($H6,RIN_Asset_Cat_Network,0),MATCH($BY$4,Direct_Cost_Type,0))*N6*HLOOKUP(CC$5,Escalators!$I$25:$U$30,6,FALSE)</f>
        <v>1418.2809299938058</v>
      </c>
      <c r="CD6" s="47">
        <f>INDEX(Direct_Cost_Splits_Network,MATCH($H6,RIN_Asset_Cat_Network,0),MATCH($BY$4,Direct_Cost_Type,0))*O6*HLOOKUP(CD$5,Escalators!$I$25:$U$30,6,FALSE)</f>
        <v>871.81042101006881</v>
      </c>
      <c r="CE6" s="47">
        <f>INDEX(Direct_Cost_Splits_Network,MATCH($H6,RIN_Asset_Cat_Network,0),MATCH($BY$4,Direct_Cost_Type,0))*P6*HLOOKUP(CE$5,Escalators!$I$25:$U$30,6,FALSE)</f>
        <v>0</v>
      </c>
      <c r="CF6" s="47">
        <f>INDEX(Direct_Cost_Splits_Network,MATCH($H6,RIN_Asset_Cat_Network,0),MATCH($BY$4,Direct_Cost_Type,0))*Q6*HLOOKUP(CF$5,Escalators!$I$25:$U$30,6,FALSE)</f>
        <v>0</v>
      </c>
      <c r="CH6" s="83">
        <f t="shared" ref="CH6:CO9" si="8">INDEX(Direct_Cost_Splits_Network,MATCH($H6,RIN_Asset_Cat_Network,0),MATCH($CH$4,Direct_Cost_Type,0))*J6</f>
        <v>0</v>
      </c>
      <c r="CI6" s="83">
        <f t="shared" si="8"/>
        <v>0</v>
      </c>
      <c r="CJ6" s="83">
        <f t="shared" si="8"/>
        <v>0</v>
      </c>
      <c r="CK6" s="83">
        <f t="shared" si="8"/>
        <v>210.31339131233307</v>
      </c>
      <c r="CL6" s="83">
        <f t="shared" si="8"/>
        <v>210.31339131233307</v>
      </c>
      <c r="CM6" s="83">
        <f t="shared" si="8"/>
        <v>127.90190204213407</v>
      </c>
      <c r="CN6" s="83">
        <f t="shared" si="8"/>
        <v>0</v>
      </c>
      <c r="CO6" s="83">
        <f t="shared" si="8"/>
        <v>0</v>
      </c>
      <c r="CQ6" s="47">
        <f t="shared" ref="CQ6:CQ9" si="9">S6+AG6+BY6+CH6</f>
        <v>0</v>
      </c>
      <c r="CR6" s="47">
        <f t="shared" ref="CR6:CR9" si="10">T6+AM6+BZ6+CI6</f>
        <v>0</v>
      </c>
      <c r="CS6" s="47">
        <f t="shared" ref="CS6:CS9" si="11">U6+AS6+CA6+CJ6</f>
        <v>0</v>
      </c>
      <c r="CT6" s="47">
        <f t="shared" ref="CT6:CT9" si="12">V6+AY6+CB6+CK6</f>
        <v>2359.4738697380526</v>
      </c>
      <c r="CU6" s="47">
        <f t="shared" ref="CU6:CU9" si="13">W6+BE6+CC6+CL6</f>
        <v>2376.3195500129586</v>
      </c>
      <c r="CV6" s="47">
        <f t="shared" ref="CV6:CV9" si="14">X6+BK6+CD6+CM6</f>
        <v>1456.0145437107533</v>
      </c>
      <c r="CW6" s="47">
        <f t="shared" ref="CW6:CW9" si="15">Y6+BQ6+CE6+CN6</f>
        <v>0</v>
      </c>
      <c r="CX6" s="47">
        <f t="shared" ref="CX6:CX9" si="16">Z6+BW6+CF6+CO6</f>
        <v>0</v>
      </c>
    </row>
    <row r="7" spans="2:102" x14ac:dyDescent="0.3">
      <c r="B7" s="7"/>
      <c r="C7" s="7" t="s">
        <v>571</v>
      </c>
      <c r="D7" s="7" t="s">
        <v>112</v>
      </c>
      <c r="E7" s="7" t="s">
        <v>48</v>
      </c>
      <c r="F7" s="7" t="s">
        <v>48</v>
      </c>
      <c r="G7" s="7" t="s">
        <v>150</v>
      </c>
      <c r="H7" s="7" t="s">
        <v>323</v>
      </c>
      <c r="I7" s="7" t="s">
        <v>240</v>
      </c>
      <c r="J7" s="45"/>
      <c r="K7" s="45"/>
      <c r="L7" s="45"/>
      <c r="M7" s="45">
        <v>2080</v>
      </c>
      <c r="N7" s="45">
        <v>2040</v>
      </c>
      <c r="O7" s="45">
        <v>2971</v>
      </c>
      <c r="P7" s="45">
        <v>4457</v>
      </c>
      <c r="Q7" s="45">
        <v>4457</v>
      </c>
      <c r="S7" s="47">
        <f>INDEX(Direct_Cost_Splits_Network,MATCH($H7,RIN_Asset_Cat_Network,0),MATCH($S$4,Direct_Cost_Type,0))*J7*HLOOKUP(S$5,Escalators!$I$25:$U$30,3,FALSE)</f>
        <v>0</v>
      </c>
      <c r="T7" s="47">
        <f>INDEX(Direct_Cost_Splits_Network,MATCH($H7,RIN_Asset_Cat_Network,0),MATCH($S$4,Direct_Cost_Type,0))*K7*HLOOKUP(T$5,Escalators!$I$25:$U$30,3,FALSE)</f>
        <v>0</v>
      </c>
      <c r="U7" s="47">
        <f>INDEX(Direct_Cost_Splits_Network,MATCH($H7,RIN_Asset_Cat_Network,0),MATCH($S$4,Direct_Cost_Type,0))*L7*HLOOKUP(U$5,Escalators!$I$25:$U$30,3,FALSE)</f>
        <v>0</v>
      </c>
      <c r="V7" s="47">
        <f>INDEX(Direct_Cost_Splits_Network,MATCH($H7,RIN_Asset_Cat_Network,0),MATCH($S$4,Direct_Cost_Type,0))*M7*HLOOKUP(V$5,Escalators!$I$25:$U$30,3,FALSE)</f>
        <v>214.56032164634362</v>
      </c>
      <c r="W7" s="47">
        <f>INDEX(Direct_Cost_Splits_Network,MATCH($H7,RIN_Asset_Cat_Network,0),MATCH($S$4,Direct_Cost_Type,0))*N7*HLOOKUP(W$5,Escalators!$I$25:$U$30,3,FALSE)</f>
        <v>212.59325025618961</v>
      </c>
      <c r="X7" s="47">
        <f>INDEX(Direct_Cost_Splits_Network,MATCH($H7,RIN_Asset_Cat_Network,0),MATCH($S$4,Direct_Cost_Type,0))*O7*HLOOKUP(X$5,Escalators!$I$25:$U$30,3,FALSE)</f>
        <v>312.94763373506044</v>
      </c>
      <c r="Y7" s="47">
        <f>INDEX(Direct_Cost_Splits_Network,MATCH($H7,RIN_Asset_Cat_Network,0),MATCH($S$4,Direct_Cost_Type,0))*P7*HLOOKUP(Y$5,Escalators!$I$25:$U$30,3,FALSE)</f>
        <v>473.91311714889821</v>
      </c>
      <c r="Z7" s="47">
        <f>INDEX(Direct_Cost_Splits_Network,MATCH($H7,RIN_Asset_Cat_Network,0),MATCH($S$4,Direct_Cost_Type,0))*Q7*HLOOKUP(Z$5,Escalators!$I$25:$U$30,3,FALSE)</f>
        <v>478.0835525798085</v>
      </c>
      <c r="AB7" s="47">
        <f>INDEX(Direct_Cost_Splits_Network,MATCH($H7,RIN_Asset_Cat_Network,0),MATCH($AG$4,Direct_Cost_Type,0))*$J7*INDEX(Act_Type_Repex_Splits,MATCH($I7,Act_Type_Repex,0),MATCH(AB$4,Mat_Type,0))*INDEX(Escalators!$I$44:$Q$49,MATCH(AB$4,Escalators!$C$44:$C$49,0),MATCH(AB$5,Escalators!$I$43:$Q$43,0))</f>
        <v>0</v>
      </c>
      <c r="AC7" s="47">
        <f>INDEX(Direct_Cost_Splits_Network,MATCH($H7,RIN_Asset_Cat_Network,0),MATCH($AG$4,Direct_Cost_Type,0))*$J7*INDEX(Act_Type_Repex_Splits,MATCH($I7,Act_Type_Repex,0),MATCH(AC$4,Mat_Type,0))*INDEX(Escalators!$I$44:$Q$49,MATCH(AC$4,Escalators!$C$44:$C$49,0),MATCH(AC$5,Escalators!$I$43:$Q$43,0))</f>
        <v>0</v>
      </c>
      <c r="AD7" s="47">
        <f>INDEX(Direct_Cost_Splits_Network,MATCH($H7,RIN_Asset_Cat_Network,0),MATCH($AG$4,Direct_Cost_Type,0))*$J7*INDEX(Act_Type_Repex_Splits,MATCH($I7,Act_Type_Repex,0),MATCH(AD$4,Mat_Type,0))*INDEX(Escalators!$I$44:$Q$49,MATCH(AD$4,Escalators!$C$44:$C$49,0),MATCH(AD$5,Escalators!$I$43:$Q$43,0))</f>
        <v>0</v>
      </c>
      <c r="AE7" s="47">
        <f>INDEX(Direct_Cost_Splits_Network,MATCH($H7,RIN_Asset_Cat_Network,0),MATCH($AG$4,Direct_Cost_Type,0))*$J7*INDEX(Act_Type_Repex_Splits,MATCH($I7,Act_Type_Repex,0),MATCH(AE$4,Mat_Type,0))*INDEX(Escalators!$I$44:$Q$49,MATCH(AE$4,Escalators!$C$44:$C$49,0),MATCH(AE$5,Escalators!$I$43:$Q$43,0))</f>
        <v>0</v>
      </c>
      <c r="AF7" s="47">
        <f>INDEX(Direct_Cost_Splits_Network,MATCH($H7,RIN_Asset_Cat_Network,0),MATCH($AG$4,Direct_Cost_Type,0))*$J7*INDEX(Act_Type_Repex_Splits,MATCH($I7,Act_Type_Repex,0),MATCH(AF$4,Mat_Type,0))*INDEX(Escalators!$I$44:$Q$49,MATCH(AF$4,Escalators!$C$44:$C$49,0),MATCH(AF$5,Escalators!$I$43:$Q$43,0))</f>
        <v>0</v>
      </c>
      <c r="AG7" s="47">
        <f t="shared" ref="AG7:AG9" si="17">SUM(AB7:AF7)</f>
        <v>0</v>
      </c>
      <c r="AH7" s="47">
        <f>INDEX(Direct_Cost_Splits_Network,MATCH($H7,RIN_Asset_Cat_Network,0),MATCH($AY$4,Direct_Cost_Type,0))*$K7*INDEX(Act_Type_Repex_Splits,MATCH($I7,Act_Type_Repex,0),MATCH(AH$4,Mat_Type,0))*INDEX(Escalators!$I$44:$U$49,MATCH(AH$4,Escalators!$C$44:$C$49,0),MATCH(AH$5,Escalators!$I$43:$U$43,0))</f>
        <v>0</v>
      </c>
      <c r="AI7" s="47">
        <f>INDEX(Direct_Cost_Splits_Network,MATCH($H7,RIN_Asset_Cat_Network,0),MATCH($AY$4,Direct_Cost_Type,0))*$K7*INDEX(Act_Type_Repex_Splits,MATCH($I7,Act_Type_Repex,0),MATCH(AI$4,Mat_Type,0))*INDEX(Escalators!$I$44:$U$49,MATCH(AI$4,Escalators!$C$44:$C$49,0),MATCH(AI$5,Escalators!$I$43:$U$43,0))</f>
        <v>0</v>
      </c>
      <c r="AJ7" s="47">
        <f>INDEX(Direct_Cost_Splits_Network,MATCH($H7,RIN_Asset_Cat_Network,0),MATCH($AY$4,Direct_Cost_Type,0))*$K7*INDEX(Act_Type_Repex_Splits,MATCH($I7,Act_Type_Repex,0),MATCH(AJ$4,Mat_Type,0))*INDEX(Escalators!$I$44:$U$49,MATCH(AJ$4,Escalators!$C$44:$C$49,0),MATCH(AJ$5,Escalators!$I$43:$U$43,0))</f>
        <v>0</v>
      </c>
      <c r="AK7" s="47">
        <f>INDEX(Direct_Cost_Splits_Network,MATCH($H7,RIN_Asset_Cat_Network,0),MATCH($AY$4,Direct_Cost_Type,0))*$K7*INDEX(Act_Type_Repex_Splits,MATCH($I7,Act_Type_Repex,0),MATCH(AK$4,Mat_Type,0))*INDEX(Escalators!$I$44:$U$49,MATCH(AK$4,Escalators!$C$44:$C$49,0),MATCH(AK$5,Escalators!$I$43:$U$43,0))</f>
        <v>0</v>
      </c>
      <c r="AL7" s="47">
        <f>INDEX(Direct_Cost_Splits_Network,MATCH($H7,RIN_Asset_Cat_Network,0),MATCH($AY$4,Direct_Cost_Type,0))*$K7*INDEX(Act_Type_Repex_Splits,MATCH($I7,Act_Type_Repex,0),MATCH(AL$4,Mat_Type,0))*INDEX(Escalators!$I$44:$U$49,MATCH(AL$4,Escalators!$C$44:$C$49,0),MATCH(AL$5,Escalators!$I$43:$U$43,0))</f>
        <v>0</v>
      </c>
      <c r="AM7" s="47">
        <f t="shared" ref="AM7:AM9" si="18">SUM(AH7:AL7)</f>
        <v>0</v>
      </c>
      <c r="AN7" s="47">
        <f>INDEX(Direct_Cost_Splits_Network,MATCH($H7,RIN_Asset_Cat_Network,0),MATCH($AY$4,Direct_Cost_Type,0))*$L7*INDEX(Act_Type_Repex_Splits,MATCH($I7,Act_Type_Repex,0),MATCH(AN$4,Mat_Type,0))*INDEX(Escalators!$I$44:$U$49,MATCH(AN$4,Escalators!$C$44:$C$49,0),MATCH(AN$5,Escalators!$I$43:$U$43,0))</f>
        <v>0</v>
      </c>
      <c r="AO7" s="47">
        <f>INDEX(Direct_Cost_Splits_Network,MATCH($H7,RIN_Asset_Cat_Network,0),MATCH($AY$4,Direct_Cost_Type,0))*$L7*INDEX(Act_Type_Repex_Splits,MATCH($I7,Act_Type_Repex,0),MATCH(AO$4,Mat_Type,0))*INDEX(Escalators!$I$44:$U$49,MATCH(AO$4,Escalators!$C$44:$C$49,0),MATCH(AO$5,Escalators!$I$43:$U$43,0))</f>
        <v>0</v>
      </c>
      <c r="AP7" s="47">
        <f>INDEX(Direct_Cost_Splits_Network,MATCH($H7,RIN_Asset_Cat_Network,0),MATCH($AY$4,Direct_Cost_Type,0))*$L7*INDEX(Act_Type_Repex_Splits,MATCH($I7,Act_Type_Repex,0),MATCH(AP$4,Mat_Type,0))*INDEX(Escalators!$I$44:$U$49,MATCH(AP$4,Escalators!$C$44:$C$49,0),MATCH(AP$5,Escalators!$I$43:$U$43,0))</f>
        <v>0</v>
      </c>
      <c r="AQ7" s="47">
        <f>INDEX(Direct_Cost_Splits_Network,MATCH($H7,RIN_Asset_Cat_Network,0),MATCH($AY$4,Direct_Cost_Type,0))*$L7*INDEX(Act_Type_Repex_Splits,MATCH($I7,Act_Type_Repex,0),MATCH(AQ$4,Mat_Type,0))*INDEX(Escalators!$I$44:$U$49,MATCH(AQ$4,Escalators!$C$44:$C$49,0),MATCH(AQ$5,Escalators!$I$43:$U$43,0))</f>
        <v>0</v>
      </c>
      <c r="AR7" s="47">
        <f>INDEX(Direct_Cost_Splits_Network,MATCH($H7,RIN_Asset_Cat_Network,0),MATCH($AY$4,Direct_Cost_Type,0))*$L7*INDEX(Act_Type_Repex_Splits,MATCH($I7,Act_Type_Repex,0),MATCH(AR$4,Mat_Type,0))*INDEX(Escalators!$I$44:$U$49,MATCH(AR$4,Escalators!$C$44:$C$49,0),MATCH(AR$5,Escalators!$I$43:$U$43,0))</f>
        <v>0</v>
      </c>
      <c r="AS7" s="47">
        <f t="shared" ref="AS7:AS9" si="19">SUM(AN7:AR7)</f>
        <v>0</v>
      </c>
      <c r="AT7" s="47">
        <f>INDEX(Direct_Cost_Splits_Network,MATCH($H7,RIN_Asset_Cat_Network,0),MATCH($AY$4,Direct_Cost_Type,0))*$M7*INDEX(Act_Type_Repex_Splits,MATCH($I7,Act_Type_Repex,0),MATCH(AT$4,Mat_Type,0))*INDEX(Escalators!$I$44:$U$49,MATCH(AT$4,Escalators!$C$44:$C$49,0),MATCH(AT$5,Escalators!$I$43:$U$43,0))</f>
        <v>0</v>
      </c>
      <c r="AU7" s="47">
        <f>INDEX(Direct_Cost_Splits_Network,MATCH($H7,RIN_Asset_Cat_Network,0),MATCH($AY$4,Direct_Cost_Type,0))*$M7*INDEX(Act_Type_Repex_Splits,MATCH($I7,Act_Type_Repex,0),MATCH(AU$4,Mat_Type,0))*INDEX(Escalators!$I$44:$U$49,MATCH(AU$4,Escalators!$C$44:$C$49,0),MATCH(AU$5,Escalators!$I$43:$U$43,0))</f>
        <v>0</v>
      </c>
      <c r="AV7" s="47">
        <f>INDEX(Direct_Cost_Splits_Network,MATCH($H7,RIN_Asset_Cat_Network,0),MATCH($AY$4,Direct_Cost_Type,0))*$M7*INDEX(Act_Type_Repex_Splits,MATCH($I7,Act_Type_Repex,0),MATCH(AV$4,Mat_Type,0))*INDEX(Escalators!$I$44:$U$49,MATCH(AV$4,Escalators!$C$44:$C$49,0),MATCH(AV$5,Escalators!$I$43:$U$43,0))</f>
        <v>91.478034604801962</v>
      </c>
      <c r="AW7" s="47">
        <f>INDEX(Direct_Cost_Splits_Network,MATCH($H7,RIN_Asset_Cat_Network,0),MATCH($AY$4,Direct_Cost_Type,0))*$M7*INDEX(Act_Type_Repex_Splits,MATCH($I7,Act_Type_Repex,0),MATCH(AW$4,Mat_Type,0))*INDEX(Escalators!$I$44:$U$49,MATCH(AW$4,Escalators!$C$44:$C$49,0),MATCH(AW$5,Escalators!$I$43:$U$43,0))</f>
        <v>0</v>
      </c>
      <c r="AX7" s="47">
        <f>INDEX(Direct_Cost_Splits_Network,MATCH($H7,RIN_Asset_Cat_Network,0),MATCH($AY$4,Direct_Cost_Type,0))*$M7*INDEX(Act_Type_Repex_Splits,MATCH($I7,Act_Type_Repex,0),MATCH(AX$4,Mat_Type,0))*INDEX(Escalators!$I$44:$U$49,MATCH(AX$4,Escalators!$C$44:$C$49,0),MATCH(AX$5,Escalators!$I$43:$U$43,0))</f>
        <v>365.91213841920785</v>
      </c>
      <c r="AY7" s="47">
        <f t="shared" ref="AY7:AY9" si="20">SUM(AT7:AX7)</f>
        <v>457.39017302400981</v>
      </c>
      <c r="AZ7" s="47">
        <f>INDEX(Direct_Cost_Splits_Network,MATCH($H7,RIN_Asset_Cat_Network,0),MATCH($BE$4,Direct_Cost_Type,0))*$N7*INDEX(Act_Type_Repex_Splits,MATCH($I7,Act_Type_Repex,0),MATCH(AZ$4,Mat_Type,0))*INDEX(Escalators!$I$44:$U$49,MATCH(AZ$4,Escalators!$C$44:$C$49,0),MATCH(AZ$5,Escalators!$I$43:$U$43,0))</f>
        <v>0</v>
      </c>
      <c r="BA7" s="47">
        <f>INDEX(Direct_Cost_Splits_Network,MATCH($H7,RIN_Asset_Cat_Network,0),MATCH($BE$4,Direct_Cost_Type,0))*$N7*INDEX(Act_Type_Repex_Splits,MATCH($I7,Act_Type_Repex,0),MATCH(BA$4,Mat_Type,0))*INDEX(Escalators!$I$44:$U$49,MATCH(BA$4,Escalators!$C$44:$C$49,0),MATCH(BA$5,Escalators!$I$43:$U$43,0))</f>
        <v>0</v>
      </c>
      <c r="BB7" s="47">
        <f>INDEX(Direct_Cost_Splits_Network,MATCH($H7,RIN_Asset_Cat_Network,0),MATCH($BE$4,Direct_Cost_Type,0))*$N7*INDEX(Act_Type_Repex_Splits,MATCH($I7,Act_Type_Repex,0),MATCH(BB$4,Mat_Type,0))*INDEX(Escalators!$I$44:$U$49,MATCH(BB$4,Escalators!$C$44:$C$49,0),MATCH(BB$5,Escalators!$I$43:$U$43,0))</f>
        <v>89.718841631632699</v>
      </c>
      <c r="BC7" s="47">
        <f>INDEX(Direct_Cost_Splits_Network,MATCH($H7,RIN_Asset_Cat_Network,0),MATCH($BE$4,Direct_Cost_Type,0))*$N7*INDEX(Act_Type_Repex_Splits,MATCH($I7,Act_Type_Repex,0),MATCH(BC$4,Mat_Type,0))*INDEX(Escalators!$I$44:$U$49,MATCH(BC$4,Escalators!$C$44:$C$49,0),MATCH(BC$5,Escalators!$I$43:$U$43,0))</f>
        <v>0</v>
      </c>
      <c r="BD7" s="47">
        <f>INDEX(Direct_Cost_Splits_Network,MATCH($H7,RIN_Asset_Cat_Network,0),MATCH($BE$4,Direct_Cost_Type,0))*$N7*INDEX(Act_Type_Repex_Splits,MATCH($I7,Act_Type_Repex,0),MATCH(BD$4,Mat_Type,0))*INDEX(Escalators!$I$44:$U$49,MATCH(BD$4,Escalators!$C$44:$C$49,0),MATCH(BD$5,Escalators!$I$43:$U$43,0))</f>
        <v>358.8753665265308</v>
      </c>
      <c r="BE7" s="47">
        <f t="shared" ref="BE7:BE9" si="21">SUM(AZ7:BD7)</f>
        <v>448.5942081581635</v>
      </c>
      <c r="BF7" s="47">
        <f>INDEX(Direct_Cost_Splits_Network,MATCH($H7,RIN_Asset_Cat_Network,0),MATCH($BK$4,Direct_Cost_Type,0))*$O7*INDEX(Act_Type_Repex_Splits,MATCH($I7,Act_Type_Repex,0),MATCH(BF$4,Mat_Type,0))*INDEX(Escalators!$I$44:$U$49,MATCH(BF$4,Escalators!$C$44:$C$49,0),MATCH(BF$5,Escalators!$I$43:$U$43,0))</f>
        <v>0</v>
      </c>
      <c r="BG7" s="47">
        <f>INDEX(Direct_Cost_Splits_Network,MATCH($H7,RIN_Asset_Cat_Network,0),MATCH($BK$4,Direct_Cost_Type,0))*$O7*INDEX(Act_Type_Repex_Splits,MATCH($I7,Act_Type_Repex,0),MATCH(BG$4,Mat_Type,0))*INDEX(Escalators!$I$44:$U$49,MATCH(BG$4,Escalators!$C$44:$C$49,0),MATCH(BG$5,Escalators!$I$43:$U$43,0))</f>
        <v>0</v>
      </c>
      <c r="BH7" s="47">
        <f>INDEX(Direct_Cost_Splits_Network,MATCH($H7,RIN_Asset_Cat_Network,0),MATCH($BK$4,Direct_Cost_Type,0))*$O7*INDEX(Act_Type_Repex_Splits,MATCH($I7,Act_Type_Repex,0),MATCH(BH$4,Mat_Type,0))*INDEX(Escalators!$I$44:$U$49,MATCH(BH$4,Escalators!$C$44:$C$49,0),MATCH(BH$5,Escalators!$I$43:$U$43,0))</f>
        <v>130.66405808214742</v>
      </c>
      <c r="BI7" s="47">
        <f>INDEX(Direct_Cost_Splits_Network,MATCH($H7,RIN_Asset_Cat_Network,0),MATCH($BK$4,Direct_Cost_Type,0))*$O7*INDEX(Act_Type_Repex_Splits,MATCH($I7,Act_Type_Repex,0),MATCH(BI$4,Mat_Type,0))*INDEX(Escalators!$I$44:$U$49,MATCH(BI$4,Escalators!$C$44:$C$49,0),MATCH(BI$5,Escalators!$I$43:$U$43,0))</f>
        <v>0</v>
      </c>
      <c r="BJ7" s="47">
        <f>INDEX(Direct_Cost_Splits_Network,MATCH($H7,RIN_Asset_Cat_Network,0),MATCH($BK$4,Direct_Cost_Type,0))*$O7*INDEX(Act_Type_Repex_Splits,MATCH($I7,Act_Type_Repex,0),MATCH(BJ$4,Mat_Type,0))*INDEX(Escalators!$I$44:$U$49,MATCH(BJ$4,Escalators!$C$44:$C$49,0),MATCH(BJ$5,Escalators!$I$43:$U$43,0))</f>
        <v>522.65623232858968</v>
      </c>
      <c r="BK7" s="47">
        <f t="shared" ref="BK7:BK9" si="22">SUM(BF7:BJ7)</f>
        <v>653.32029041073713</v>
      </c>
      <c r="BL7" s="47">
        <f>INDEX(Direct_Cost_Splits_Network,MATCH($H7,RIN_Asset_Cat_Network,0),MATCH($BQ$4,Direct_Cost_Type,0))*$P7*INDEX(Act_Type_Repex_Splits,MATCH($I7,Act_Type_Repex,0),MATCH(BL$4,Mat_Type,0))*INDEX(Escalators!$I$44:$U$49,MATCH(BL$4,Escalators!$C$44:$C$49,0),MATCH(BL$5,Escalators!$I$43:$U$43,0))</f>
        <v>0</v>
      </c>
      <c r="BM7" s="47">
        <f>INDEX(Direct_Cost_Splits_Network,MATCH($H7,RIN_Asset_Cat_Network,0),MATCH($BQ$4,Direct_Cost_Type,0))*$P7*INDEX(Act_Type_Repex_Splits,MATCH($I7,Act_Type_Repex,0),MATCH(BM$4,Mat_Type,0))*INDEX(Escalators!$I$44:$U$49,MATCH(BM$4,Escalators!$C$44:$C$49,0),MATCH(BM$5,Escalators!$I$43:$U$43,0))</f>
        <v>0</v>
      </c>
      <c r="BN7" s="47">
        <f>INDEX(Direct_Cost_Splits_Network,MATCH($H7,RIN_Asset_Cat_Network,0),MATCH($BQ$4,Direct_Cost_Type,0))*$P7*INDEX(Act_Type_Repex_Splits,MATCH($I7,Act_Type_Repex,0),MATCH(BN$4,Mat_Type,0))*INDEX(Escalators!$I$44:$U$49,MATCH(BN$4,Escalators!$C$44:$C$49,0),MATCH(BN$5,Escalators!$I$43:$U$43,0))</f>
        <v>196.01807703538574</v>
      </c>
      <c r="BO7" s="47">
        <f>INDEX(Direct_Cost_Splits_Network,MATCH($H7,RIN_Asset_Cat_Network,0),MATCH($BQ$4,Direct_Cost_Type,0))*$P7*INDEX(Act_Type_Repex_Splits,MATCH($I7,Act_Type_Repex,0),MATCH(BO$4,Mat_Type,0))*INDEX(Escalators!$I$44:$U$49,MATCH(BO$4,Escalators!$C$44:$C$49,0),MATCH(BO$5,Escalators!$I$43:$U$43,0))</f>
        <v>0</v>
      </c>
      <c r="BP7" s="47">
        <f>INDEX(Direct_Cost_Splits_Network,MATCH($H7,RIN_Asset_Cat_Network,0),MATCH($BQ$4,Direct_Cost_Type,0))*$P7*INDEX(Act_Type_Repex_Splits,MATCH($I7,Act_Type_Repex,0),MATCH(BP$4,Mat_Type,0))*INDEX(Escalators!$I$44:$U$49,MATCH(BP$4,Escalators!$C$44:$C$49,0),MATCH(BP$5,Escalators!$I$43:$U$43,0))</f>
        <v>784.07230814154298</v>
      </c>
      <c r="BQ7" s="47">
        <f t="shared" ref="BQ7:BQ9" si="23">SUM(BL7:BP7)</f>
        <v>980.09038517692875</v>
      </c>
      <c r="BR7" s="47">
        <f>INDEX(Direct_Cost_Splits_Network,MATCH($H7,RIN_Asset_Cat_Network,0),MATCH($BW$4,Direct_Cost_Type,0))*$Q7*INDEX(Act_Type_Repex_Splits,MATCH($I7,Act_Type_Repex,0),MATCH(BR$4,Mat_Type,0))*INDEX(Escalators!$I$44:$U$49,MATCH(BR$4,Escalators!$C$44:$C$49,0),MATCH(BR$5,Escalators!$I$43:$U$43,0))</f>
        <v>0</v>
      </c>
      <c r="BS7" s="47">
        <f>INDEX(Direct_Cost_Splits_Network,MATCH($H7,RIN_Asset_Cat_Network,0),MATCH($BW$4,Direct_Cost_Type,0))*$Q7*INDEX(Act_Type_Repex_Splits,MATCH($I7,Act_Type_Repex,0),MATCH(BS$4,Mat_Type,0))*INDEX(Escalators!$I$44:$U$49,MATCH(BS$4,Escalators!$C$44:$C$49,0),MATCH(BS$5,Escalators!$I$43:$U$43,0))</f>
        <v>0</v>
      </c>
      <c r="BT7" s="47">
        <f>INDEX(Direct_Cost_Splits_Network,MATCH($H7,RIN_Asset_Cat_Network,0),MATCH($BW$4,Direct_Cost_Type,0))*$Q7*INDEX(Act_Type_Repex_Splits,MATCH($I7,Act_Type_Repex,0),MATCH(BT$4,Mat_Type,0))*INDEX(Escalators!$I$44:$U$49,MATCH(BT$4,Escalators!$C$44:$C$49,0),MATCH(BT$5,Escalators!$I$43:$U$43,0))</f>
        <v>196.01807703538574</v>
      </c>
      <c r="BU7" s="47">
        <f>INDEX(Direct_Cost_Splits_Network,MATCH($H7,RIN_Asset_Cat_Network,0),MATCH($BW$4,Direct_Cost_Type,0))*$Q7*INDEX(Act_Type_Repex_Splits,MATCH($I7,Act_Type_Repex,0),MATCH(BU$4,Mat_Type,0))*INDEX(Escalators!$I$44:$U$49,MATCH(BU$4,Escalators!$C$44:$C$49,0),MATCH(BU$5,Escalators!$I$43:$U$43,0))</f>
        <v>0</v>
      </c>
      <c r="BV7" s="47">
        <f>INDEX(Direct_Cost_Splits_Network,MATCH($H7,RIN_Asset_Cat_Network,0),MATCH($BW$4,Direct_Cost_Type,0))*$Q7*INDEX(Act_Type_Repex_Splits,MATCH($I7,Act_Type_Repex,0),MATCH(BV$4,Mat_Type,0))*INDEX(Escalators!$I$44:$U$49,MATCH(BV$4,Escalators!$C$44:$C$49,0),MATCH(BV$5,Escalators!$I$43:$U$43,0))</f>
        <v>784.07230814154298</v>
      </c>
      <c r="BW7" s="47">
        <f t="shared" ref="BW7:BW9" si="24">SUM(BR7:BV7)</f>
        <v>980.09038517692875</v>
      </c>
      <c r="BY7" s="47">
        <f>INDEX(Direct_Cost_Splits_Network,MATCH($H7,RIN_Asset_Cat_Network,0),MATCH($BY$4,Direct_Cost_Type,0))*J7*HLOOKUP(BY$5,Escalators!$I$25:$U$30,6,FALSE)</f>
        <v>0</v>
      </c>
      <c r="BZ7" s="47">
        <f>INDEX(Direct_Cost_Splits_Network,MATCH($H7,RIN_Asset_Cat_Network,0),MATCH($BY$4,Direct_Cost_Type,0))*K7*HLOOKUP(BZ$5,Escalators!$I$25:$U$30,6,FALSE)</f>
        <v>0</v>
      </c>
      <c r="CA7" s="47">
        <f>INDEX(Direct_Cost_Splits_Network,MATCH($H7,RIN_Asset_Cat_Network,0),MATCH($BY$4,Direct_Cost_Type,0))*L7*HLOOKUP(CA$5,Escalators!$I$25:$U$30,6,FALSE)</f>
        <v>0</v>
      </c>
      <c r="CB7" s="47">
        <f>INDEX(Direct_Cost_Splits_Network,MATCH($H7,RIN_Asset_Cat_Network,0),MATCH($BY$4,Direct_Cost_Type,0))*M7*HLOOKUP(CB$5,Escalators!$I$25:$U$30,6,FALSE)</f>
        <v>1265.7407906029439</v>
      </c>
      <c r="CC7" s="47">
        <f>INDEX(Direct_Cost_Splits_Network,MATCH($H7,RIN_Asset_Cat_Network,0),MATCH($BY$4,Direct_Cost_Type,0))*N7*HLOOKUP(CC$5,Escalators!$I$25:$U$30,6,FALSE)</f>
        <v>1254.1365830894513</v>
      </c>
      <c r="CD7" s="47">
        <f>INDEX(Direct_Cost_Splits_Network,MATCH($H7,RIN_Asset_Cat_Network,0),MATCH($BY$4,Direct_Cost_Type,0))*O7*HLOOKUP(CD$5,Escalators!$I$25:$U$30,6,FALSE)</f>
        <v>1846.1502215402097</v>
      </c>
      <c r="CE7" s="47">
        <f>INDEX(Direct_Cost_Splits_Network,MATCH($H7,RIN_Asset_Cat_Network,0),MATCH($BY$4,Direct_Cost_Type,0))*P7*HLOOKUP(CE$5,Escalators!$I$25:$U$30,6,FALSE)</f>
        <v>2795.722708534513</v>
      </c>
      <c r="CF7" s="47">
        <f>INDEX(Direct_Cost_Splits_Network,MATCH($H7,RIN_Asset_Cat_Network,0),MATCH($BY$4,Direct_Cost_Type,0))*Q7*HLOOKUP(CF$5,Escalators!$I$25:$U$30,6,FALSE)</f>
        <v>2820.3250683696165</v>
      </c>
      <c r="CH7" s="83">
        <f t="shared" si="8"/>
        <v>0</v>
      </c>
      <c r="CI7" s="83">
        <f t="shared" si="8"/>
        <v>0</v>
      </c>
      <c r="CJ7" s="83">
        <f t="shared" si="8"/>
        <v>0</v>
      </c>
      <c r="CK7" s="83">
        <f t="shared" si="8"/>
        <v>189.61935584293576</v>
      </c>
      <c r="CL7" s="83">
        <f t="shared" si="8"/>
        <v>185.97282976903315</v>
      </c>
      <c r="CM7" s="83">
        <f t="shared" si="8"/>
        <v>270.84572413911638</v>
      </c>
      <c r="CN7" s="83">
        <f t="shared" si="8"/>
        <v>406.3141677845984</v>
      </c>
      <c r="CO7" s="83">
        <f t="shared" si="8"/>
        <v>406.3141677845984</v>
      </c>
      <c r="CQ7" s="47">
        <f t="shared" si="9"/>
        <v>0</v>
      </c>
      <c r="CR7" s="47">
        <f t="shared" si="10"/>
        <v>0</v>
      </c>
      <c r="CS7" s="47">
        <f t="shared" si="11"/>
        <v>0</v>
      </c>
      <c r="CT7" s="47">
        <f t="shared" si="12"/>
        <v>2127.310641116233</v>
      </c>
      <c r="CU7" s="47">
        <f t="shared" si="13"/>
        <v>2101.2968712728375</v>
      </c>
      <c r="CV7" s="47">
        <f t="shared" si="14"/>
        <v>3083.2638698251239</v>
      </c>
      <c r="CW7" s="47">
        <f t="shared" si="15"/>
        <v>4656.0403786449388</v>
      </c>
      <c r="CX7" s="47">
        <f t="shared" si="16"/>
        <v>4684.8131739109531</v>
      </c>
    </row>
    <row r="8" spans="2:102" x14ac:dyDescent="0.3">
      <c r="B8" s="7"/>
      <c r="C8" s="7" t="s">
        <v>572</v>
      </c>
      <c r="D8" s="7" t="s">
        <v>112</v>
      </c>
      <c r="E8" s="7" t="s">
        <v>48</v>
      </c>
      <c r="F8" s="7" t="s">
        <v>48</v>
      </c>
      <c r="G8" s="7" t="s">
        <v>150</v>
      </c>
      <c r="H8" s="7" t="s">
        <v>323</v>
      </c>
      <c r="I8" s="7" t="s">
        <v>240</v>
      </c>
      <c r="J8" s="45"/>
      <c r="K8" s="45"/>
      <c r="L8" s="45"/>
      <c r="M8" s="45">
        <v>850</v>
      </c>
      <c r="N8" s="45">
        <v>850</v>
      </c>
      <c r="O8" s="45">
        <v>600</v>
      </c>
      <c r="P8" s="45">
        <v>0</v>
      </c>
      <c r="Q8" s="45">
        <v>0</v>
      </c>
      <c r="S8" s="47">
        <f>INDEX(Direct_Cost_Splits_Network,MATCH($H8,RIN_Asset_Cat_Network,0),MATCH($S$4,Direct_Cost_Type,0))*J8*HLOOKUP(S$5,Escalators!$I$25:$U$30,3,FALSE)</f>
        <v>0</v>
      </c>
      <c r="T8" s="47">
        <f>INDEX(Direct_Cost_Splits_Network,MATCH($H8,RIN_Asset_Cat_Network,0),MATCH($S$4,Direct_Cost_Type,0))*K8*HLOOKUP(T$5,Escalators!$I$25:$U$30,3,FALSE)</f>
        <v>0</v>
      </c>
      <c r="U8" s="47">
        <f>INDEX(Direct_Cost_Splits_Network,MATCH($H8,RIN_Asset_Cat_Network,0),MATCH($S$4,Direct_Cost_Type,0))*L8*HLOOKUP(U$5,Escalators!$I$25:$U$30,3,FALSE)</f>
        <v>0</v>
      </c>
      <c r="V8" s="47">
        <f>INDEX(Direct_Cost_Splits_Network,MATCH($H8,RIN_Asset_Cat_Network,0),MATCH($S$4,Direct_Cost_Type,0))*M8*HLOOKUP(V$5,Escalators!$I$25:$U$30,3,FALSE)</f>
        <v>87.680900672784659</v>
      </c>
      <c r="W8" s="47">
        <f>INDEX(Direct_Cost_Splits_Network,MATCH($H8,RIN_Asset_Cat_Network,0),MATCH($S$4,Direct_Cost_Type,0))*N8*HLOOKUP(W$5,Escalators!$I$25:$U$30,3,FALSE)</f>
        <v>88.580520940079012</v>
      </c>
      <c r="X8" s="47">
        <f>INDEX(Direct_Cost_Splits_Network,MATCH($H8,RIN_Asset_Cat_Network,0),MATCH($S$4,Direct_Cost_Type,0))*O8*HLOOKUP(X$5,Escalators!$I$25:$U$30,3,FALSE)</f>
        <v>63.200464571200357</v>
      </c>
      <c r="Y8" s="47">
        <f>INDEX(Direct_Cost_Splits_Network,MATCH($H8,RIN_Asset_Cat_Network,0),MATCH($S$4,Direct_Cost_Type,0))*P8*HLOOKUP(Y$5,Escalators!$I$25:$U$30,3,FALSE)</f>
        <v>0</v>
      </c>
      <c r="Z8" s="47">
        <f>INDEX(Direct_Cost_Splits_Network,MATCH($H8,RIN_Asset_Cat_Network,0),MATCH($S$4,Direct_Cost_Type,0))*Q8*HLOOKUP(Z$5,Escalators!$I$25:$U$30,3,FALSE)</f>
        <v>0</v>
      </c>
      <c r="AB8" s="47">
        <f>INDEX(Direct_Cost_Splits_Network,MATCH($H8,RIN_Asset_Cat_Network,0),MATCH($AG$4,Direct_Cost_Type,0))*$J8*INDEX(Act_Type_Repex_Splits,MATCH($I8,Act_Type_Repex,0),MATCH(AB$4,Mat_Type,0))*INDEX(Escalators!$I$44:$Q$49,MATCH(AB$4,Escalators!$C$44:$C$49,0),MATCH(AB$5,Escalators!$I$43:$Q$43,0))</f>
        <v>0</v>
      </c>
      <c r="AC8" s="47">
        <f>INDEX(Direct_Cost_Splits_Network,MATCH($H8,RIN_Asset_Cat_Network,0),MATCH($AG$4,Direct_Cost_Type,0))*$J8*INDEX(Act_Type_Repex_Splits,MATCH($I8,Act_Type_Repex,0),MATCH(AC$4,Mat_Type,0))*INDEX(Escalators!$I$44:$Q$49,MATCH(AC$4,Escalators!$C$44:$C$49,0),MATCH(AC$5,Escalators!$I$43:$Q$43,0))</f>
        <v>0</v>
      </c>
      <c r="AD8" s="47">
        <f>INDEX(Direct_Cost_Splits_Network,MATCH($H8,RIN_Asset_Cat_Network,0),MATCH($AG$4,Direct_Cost_Type,0))*$J8*INDEX(Act_Type_Repex_Splits,MATCH($I8,Act_Type_Repex,0),MATCH(AD$4,Mat_Type,0))*INDEX(Escalators!$I$44:$Q$49,MATCH(AD$4,Escalators!$C$44:$C$49,0),MATCH(AD$5,Escalators!$I$43:$Q$43,0))</f>
        <v>0</v>
      </c>
      <c r="AE8" s="47">
        <f>INDEX(Direct_Cost_Splits_Network,MATCH($H8,RIN_Asset_Cat_Network,0),MATCH($AG$4,Direct_Cost_Type,0))*$J8*INDEX(Act_Type_Repex_Splits,MATCH($I8,Act_Type_Repex,0),MATCH(AE$4,Mat_Type,0))*INDEX(Escalators!$I$44:$Q$49,MATCH(AE$4,Escalators!$C$44:$C$49,0),MATCH(AE$5,Escalators!$I$43:$Q$43,0))</f>
        <v>0</v>
      </c>
      <c r="AF8" s="47">
        <f>INDEX(Direct_Cost_Splits_Network,MATCH($H8,RIN_Asset_Cat_Network,0),MATCH($AG$4,Direct_Cost_Type,0))*$J8*INDEX(Act_Type_Repex_Splits,MATCH($I8,Act_Type_Repex,0),MATCH(AF$4,Mat_Type,0))*INDEX(Escalators!$I$44:$Q$49,MATCH(AF$4,Escalators!$C$44:$C$49,0),MATCH(AF$5,Escalators!$I$43:$Q$43,0))</f>
        <v>0</v>
      </c>
      <c r="AG8" s="47">
        <f t="shared" si="17"/>
        <v>0</v>
      </c>
      <c r="AH8" s="47">
        <f>INDEX(Direct_Cost_Splits_Network,MATCH($H8,RIN_Asset_Cat_Network,0),MATCH($AY$4,Direct_Cost_Type,0))*$K8*INDEX(Act_Type_Repex_Splits,MATCH($I8,Act_Type_Repex,0),MATCH(AH$4,Mat_Type,0))*INDEX(Escalators!$I$44:$U$49,MATCH(AH$4,Escalators!$C$44:$C$49,0),MATCH(AH$5,Escalators!$I$43:$U$43,0))</f>
        <v>0</v>
      </c>
      <c r="AI8" s="47">
        <f>INDEX(Direct_Cost_Splits_Network,MATCH($H8,RIN_Asset_Cat_Network,0),MATCH($AY$4,Direct_Cost_Type,0))*$K8*INDEX(Act_Type_Repex_Splits,MATCH($I8,Act_Type_Repex,0),MATCH(AI$4,Mat_Type,0))*INDEX(Escalators!$I$44:$U$49,MATCH(AI$4,Escalators!$C$44:$C$49,0),MATCH(AI$5,Escalators!$I$43:$U$43,0))</f>
        <v>0</v>
      </c>
      <c r="AJ8" s="47">
        <f>INDEX(Direct_Cost_Splits_Network,MATCH($H8,RIN_Asset_Cat_Network,0),MATCH($AY$4,Direct_Cost_Type,0))*$K8*INDEX(Act_Type_Repex_Splits,MATCH($I8,Act_Type_Repex,0),MATCH(AJ$4,Mat_Type,0))*INDEX(Escalators!$I$44:$U$49,MATCH(AJ$4,Escalators!$C$44:$C$49,0),MATCH(AJ$5,Escalators!$I$43:$U$43,0))</f>
        <v>0</v>
      </c>
      <c r="AK8" s="47">
        <f>INDEX(Direct_Cost_Splits_Network,MATCH($H8,RIN_Asset_Cat_Network,0),MATCH($AY$4,Direct_Cost_Type,0))*$K8*INDEX(Act_Type_Repex_Splits,MATCH($I8,Act_Type_Repex,0),MATCH(AK$4,Mat_Type,0))*INDEX(Escalators!$I$44:$U$49,MATCH(AK$4,Escalators!$C$44:$C$49,0),MATCH(AK$5,Escalators!$I$43:$U$43,0))</f>
        <v>0</v>
      </c>
      <c r="AL8" s="47">
        <f>INDEX(Direct_Cost_Splits_Network,MATCH($H8,RIN_Asset_Cat_Network,0),MATCH($AY$4,Direct_Cost_Type,0))*$K8*INDEX(Act_Type_Repex_Splits,MATCH($I8,Act_Type_Repex,0),MATCH(AL$4,Mat_Type,0))*INDEX(Escalators!$I$44:$U$49,MATCH(AL$4,Escalators!$C$44:$C$49,0),MATCH(AL$5,Escalators!$I$43:$U$43,0))</f>
        <v>0</v>
      </c>
      <c r="AM8" s="47">
        <f t="shared" si="18"/>
        <v>0</v>
      </c>
      <c r="AN8" s="47">
        <f>INDEX(Direct_Cost_Splits_Network,MATCH($H8,RIN_Asset_Cat_Network,0),MATCH($AY$4,Direct_Cost_Type,0))*$L8*INDEX(Act_Type_Repex_Splits,MATCH($I8,Act_Type_Repex,0),MATCH(AN$4,Mat_Type,0))*INDEX(Escalators!$I$44:$U$49,MATCH(AN$4,Escalators!$C$44:$C$49,0),MATCH(AN$5,Escalators!$I$43:$U$43,0))</f>
        <v>0</v>
      </c>
      <c r="AO8" s="47">
        <f>INDEX(Direct_Cost_Splits_Network,MATCH($H8,RIN_Asset_Cat_Network,0),MATCH($AY$4,Direct_Cost_Type,0))*$L8*INDEX(Act_Type_Repex_Splits,MATCH($I8,Act_Type_Repex,0),MATCH(AO$4,Mat_Type,0))*INDEX(Escalators!$I$44:$U$49,MATCH(AO$4,Escalators!$C$44:$C$49,0),MATCH(AO$5,Escalators!$I$43:$U$43,0))</f>
        <v>0</v>
      </c>
      <c r="AP8" s="47">
        <f>INDEX(Direct_Cost_Splits_Network,MATCH($H8,RIN_Asset_Cat_Network,0),MATCH($AY$4,Direct_Cost_Type,0))*$L8*INDEX(Act_Type_Repex_Splits,MATCH($I8,Act_Type_Repex,0),MATCH(AP$4,Mat_Type,0))*INDEX(Escalators!$I$44:$U$49,MATCH(AP$4,Escalators!$C$44:$C$49,0),MATCH(AP$5,Escalators!$I$43:$U$43,0))</f>
        <v>0</v>
      </c>
      <c r="AQ8" s="47">
        <f>INDEX(Direct_Cost_Splits_Network,MATCH($H8,RIN_Asset_Cat_Network,0),MATCH($AY$4,Direct_Cost_Type,0))*$L8*INDEX(Act_Type_Repex_Splits,MATCH($I8,Act_Type_Repex,0),MATCH(AQ$4,Mat_Type,0))*INDEX(Escalators!$I$44:$U$49,MATCH(AQ$4,Escalators!$C$44:$C$49,0),MATCH(AQ$5,Escalators!$I$43:$U$43,0))</f>
        <v>0</v>
      </c>
      <c r="AR8" s="47">
        <f>INDEX(Direct_Cost_Splits_Network,MATCH($H8,RIN_Asset_Cat_Network,0),MATCH($AY$4,Direct_Cost_Type,0))*$L8*INDEX(Act_Type_Repex_Splits,MATCH($I8,Act_Type_Repex,0),MATCH(AR$4,Mat_Type,0))*INDEX(Escalators!$I$44:$U$49,MATCH(AR$4,Escalators!$C$44:$C$49,0),MATCH(AR$5,Escalators!$I$43:$U$43,0))</f>
        <v>0</v>
      </c>
      <c r="AS8" s="47">
        <f t="shared" si="19"/>
        <v>0</v>
      </c>
      <c r="AT8" s="47">
        <f>INDEX(Direct_Cost_Splits_Network,MATCH($H8,RIN_Asset_Cat_Network,0),MATCH($AY$4,Direct_Cost_Type,0))*$M8*INDEX(Act_Type_Repex_Splits,MATCH($I8,Act_Type_Repex,0),MATCH(AT$4,Mat_Type,0))*INDEX(Escalators!$I$44:$U$49,MATCH(AT$4,Escalators!$C$44:$C$49,0),MATCH(AT$5,Escalators!$I$43:$U$43,0))</f>
        <v>0</v>
      </c>
      <c r="AU8" s="47">
        <f>INDEX(Direct_Cost_Splits_Network,MATCH($H8,RIN_Asset_Cat_Network,0),MATCH($AY$4,Direct_Cost_Type,0))*$M8*INDEX(Act_Type_Repex_Splits,MATCH($I8,Act_Type_Repex,0),MATCH(AU$4,Mat_Type,0))*INDEX(Escalators!$I$44:$U$49,MATCH(AU$4,Escalators!$C$44:$C$49,0),MATCH(AU$5,Escalators!$I$43:$U$43,0))</f>
        <v>0</v>
      </c>
      <c r="AV8" s="47">
        <f>INDEX(Direct_Cost_Splits_Network,MATCH($H8,RIN_Asset_Cat_Network,0),MATCH($AY$4,Direct_Cost_Type,0))*$M8*INDEX(Act_Type_Repex_Splits,MATCH($I8,Act_Type_Repex,0),MATCH(AV$4,Mat_Type,0))*INDEX(Escalators!$I$44:$U$49,MATCH(AV$4,Escalators!$C$44:$C$49,0),MATCH(AV$5,Escalators!$I$43:$U$43,0))</f>
        <v>37.382850679846953</v>
      </c>
      <c r="AW8" s="47">
        <f>INDEX(Direct_Cost_Splits_Network,MATCH($H8,RIN_Asset_Cat_Network,0),MATCH($AY$4,Direct_Cost_Type,0))*$M8*INDEX(Act_Type_Repex_Splits,MATCH($I8,Act_Type_Repex,0),MATCH(AW$4,Mat_Type,0))*INDEX(Escalators!$I$44:$U$49,MATCH(AW$4,Escalators!$C$44:$C$49,0),MATCH(AW$5,Escalators!$I$43:$U$43,0))</f>
        <v>0</v>
      </c>
      <c r="AX8" s="47">
        <f>INDEX(Direct_Cost_Splits_Network,MATCH($H8,RIN_Asset_Cat_Network,0),MATCH($AY$4,Direct_Cost_Type,0))*$M8*INDEX(Act_Type_Repex_Splits,MATCH($I8,Act_Type_Repex,0),MATCH(AX$4,Mat_Type,0))*INDEX(Escalators!$I$44:$U$49,MATCH(AX$4,Escalators!$C$44:$C$49,0),MATCH(AX$5,Escalators!$I$43:$U$43,0))</f>
        <v>149.53140271938781</v>
      </c>
      <c r="AY8" s="47">
        <f t="shared" si="20"/>
        <v>186.91425339923478</v>
      </c>
      <c r="AZ8" s="47">
        <f>INDEX(Direct_Cost_Splits_Network,MATCH($H8,RIN_Asset_Cat_Network,0),MATCH($BE$4,Direct_Cost_Type,0))*$N8*INDEX(Act_Type_Repex_Splits,MATCH($I8,Act_Type_Repex,0),MATCH(AZ$4,Mat_Type,0))*INDEX(Escalators!$I$44:$U$49,MATCH(AZ$4,Escalators!$C$44:$C$49,0),MATCH(AZ$5,Escalators!$I$43:$U$43,0))</f>
        <v>0</v>
      </c>
      <c r="BA8" s="47">
        <f>INDEX(Direct_Cost_Splits_Network,MATCH($H8,RIN_Asset_Cat_Network,0),MATCH($BE$4,Direct_Cost_Type,0))*$N8*INDEX(Act_Type_Repex_Splits,MATCH($I8,Act_Type_Repex,0),MATCH(BA$4,Mat_Type,0))*INDEX(Escalators!$I$44:$U$49,MATCH(BA$4,Escalators!$C$44:$C$49,0),MATCH(BA$5,Escalators!$I$43:$U$43,0))</f>
        <v>0</v>
      </c>
      <c r="BB8" s="47">
        <f>INDEX(Direct_Cost_Splits_Network,MATCH($H8,RIN_Asset_Cat_Network,0),MATCH($BE$4,Direct_Cost_Type,0))*$N8*INDEX(Act_Type_Repex_Splits,MATCH($I8,Act_Type_Repex,0),MATCH(BB$4,Mat_Type,0))*INDEX(Escalators!$I$44:$U$49,MATCH(BB$4,Escalators!$C$44:$C$49,0),MATCH(BB$5,Escalators!$I$43:$U$43,0))</f>
        <v>37.382850679846953</v>
      </c>
      <c r="BC8" s="47">
        <f>INDEX(Direct_Cost_Splits_Network,MATCH($H8,RIN_Asset_Cat_Network,0),MATCH($BE$4,Direct_Cost_Type,0))*$N8*INDEX(Act_Type_Repex_Splits,MATCH($I8,Act_Type_Repex,0),MATCH(BC$4,Mat_Type,0))*INDEX(Escalators!$I$44:$U$49,MATCH(BC$4,Escalators!$C$44:$C$49,0),MATCH(BC$5,Escalators!$I$43:$U$43,0))</f>
        <v>0</v>
      </c>
      <c r="BD8" s="47">
        <f>INDEX(Direct_Cost_Splits_Network,MATCH($H8,RIN_Asset_Cat_Network,0),MATCH($BE$4,Direct_Cost_Type,0))*$N8*INDEX(Act_Type_Repex_Splits,MATCH($I8,Act_Type_Repex,0),MATCH(BD$4,Mat_Type,0))*INDEX(Escalators!$I$44:$U$49,MATCH(BD$4,Escalators!$C$44:$C$49,0),MATCH(BD$5,Escalators!$I$43:$U$43,0))</f>
        <v>149.53140271938781</v>
      </c>
      <c r="BE8" s="47">
        <f t="shared" si="21"/>
        <v>186.91425339923478</v>
      </c>
      <c r="BF8" s="47">
        <f>INDEX(Direct_Cost_Splits_Network,MATCH($H8,RIN_Asset_Cat_Network,0),MATCH($BK$4,Direct_Cost_Type,0))*$O8*INDEX(Act_Type_Repex_Splits,MATCH($I8,Act_Type_Repex,0),MATCH(BF$4,Mat_Type,0))*INDEX(Escalators!$I$44:$U$49,MATCH(BF$4,Escalators!$C$44:$C$49,0),MATCH(BF$5,Escalators!$I$43:$U$43,0))</f>
        <v>0</v>
      </c>
      <c r="BG8" s="47">
        <f>INDEX(Direct_Cost_Splits_Network,MATCH($H8,RIN_Asset_Cat_Network,0),MATCH($BK$4,Direct_Cost_Type,0))*$O8*INDEX(Act_Type_Repex_Splits,MATCH($I8,Act_Type_Repex,0),MATCH(BG$4,Mat_Type,0))*INDEX(Escalators!$I$44:$U$49,MATCH(BG$4,Escalators!$C$44:$C$49,0),MATCH(BG$5,Escalators!$I$43:$U$43,0))</f>
        <v>0</v>
      </c>
      <c r="BH8" s="47">
        <f>INDEX(Direct_Cost_Splits_Network,MATCH($H8,RIN_Asset_Cat_Network,0),MATCH($BK$4,Direct_Cost_Type,0))*$O8*INDEX(Act_Type_Repex_Splits,MATCH($I8,Act_Type_Repex,0),MATCH(BH$4,Mat_Type,0))*INDEX(Escalators!$I$44:$U$49,MATCH(BH$4,Escalators!$C$44:$C$49,0),MATCH(BH$5,Escalators!$I$43:$U$43,0))</f>
        <v>26.387894597539027</v>
      </c>
      <c r="BI8" s="47">
        <f>INDEX(Direct_Cost_Splits_Network,MATCH($H8,RIN_Asset_Cat_Network,0),MATCH($BK$4,Direct_Cost_Type,0))*$O8*INDEX(Act_Type_Repex_Splits,MATCH($I8,Act_Type_Repex,0),MATCH(BI$4,Mat_Type,0))*INDEX(Escalators!$I$44:$U$49,MATCH(BI$4,Escalators!$C$44:$C$49,0),MATCH(BI$5,Escalators!$I$43:$U$43,0))</f>
        <v>0</v>
      </c>
      <c r="BJ8" s="47">
        <f>INDEX(Direct_Cost_Splits_Network,MATCH($H8,RIN_Asset_Cat_Network,0),MATCH($BK$4,Direct_Cost_Type,0))*$O8*INDEX(Act_Type_Repex_Splits,MATCH($I8,Act_Type_Repex,0),MATCH(BJ$4,Mat_Type,0))*INDEX(Escalators!$I$44:$U$49,MATCH(BJ$4,Escalators!$C$44:$C$49,0),MATCH(BJ$5,Escalators!$I$43:$U$43,0))</f>
        <v>105.55157839015611</v>
      </c>
      <c r="BK8" s="47">
        <f t="shared" si="22"/>
        <v>131.93947298769513</v>
      </c>
      <c r="BL8" s="47">
        <f>INDEX(Direct_Cost_Splits_Network,MATCH($H8,RIN_Asset_Cat_Network,0),MATCH($BQ$4,Direct_Cost_Type,0))*$P8*INDEX(Act_Type_Repex_Splits,MATCH($I8,Act_Type_Repex,0),MATCH(BL$4,Mat_Type,0))*INDEX(Escalators!$I$44:$U$49,MATCH(BL$4,Escalators!$C$44:$C$49,0),MATCH(BL$5,Escalators!$I$43:$U$43,0))</f>
        <v>0</v>
      </c>
      <c r="BM8" s="47">
        <f>INDEX(Direct_Cost_Splits_Network,MATCH($H8,RIN_Asset_Cat_Network,0),MATCH($BQ$4,Direct_Cost_Type,0))*$P8*INDEX(Act_Type_Repex_Splits,MATCH($I8,Act_Type_Repex,0),MATCH(BM$4,Mat_Type,0))*INDEX(Escalators!$I$44:$U$49,MATCH(BM$4,Escalators!$C$44:$C$49,0),MATCH(BM$5,Escalators!$I$43:$U$43,0))</f>
        <v>0</v>
      </c>
      <c r="BN8" s="47">
        <f>INDEX(Direct_Cost_Splits_Network,MATCH($H8,RIN_Asset_Cat_Network,0),MATCH($BQ$4,Direct_Cost_Type,0))*$P8*INDEX(Act_Type_Repex_Splits,MATCH($I8,Act_Type_Repex,0),MATCH(BN$4,Mat_Type,0))*INDEX(Escalators!$I$44:$U$49,MATCH(BN$4,Escalators!$C$44:$C$49,0),MATCH(BN$5,Escalators!$I$43:$U$43,0))</f>
        <v>0</v>
      </c>
      <c r="BO8" s="47">
        <f>INDEX(Direct_Cost_Splits_Network,MATCH($H8,RIN_Asset_Cat_Network,0),MATCH($BQ$4,Direct_Cost_Type,0))*$P8*INDEX(Act_Type_Repex_Splits,MATCH($I8,Act_Type_Repex,0),MATCH(BO$4,Mat_Type,0))*INDEX(Escalators!$I$44:$U$49,MATCH(BO$4,Escalators!$C$44:$C$49,0),MATCH(BO$5,Escalators!$I$43:$U$43,0))</f>
        <v>0</v>
      </c>
      <c r="BP8" s="47">
        <f>INDEX(Direct_Cost_Splits_Network,MATCH($H8,RIN_Asset_Cat_Network,0),MATCH($BQ$4,Direct_Cost_Type,0))*$P8*INDEX(Act_Type_Repex_Splits,MATCH($I8,Act_Type_Repex,0),MATCH(BP$4,Mat_Type,0))*INDEX(Escalators!$I$44:$U$49,MATCH(BP$4,Escalators!$C$44:$C$49,0),MATCH(BP$5,Escalators!$I$43:$U$43,0))</f>
        <v>0</v>
      </c>
      <c r="BQ8" s="47">
        <f t="shared" si="23"/>
        <v>0</v>
      </c>
      <c r="BR8" s="47">
        <f>INDEX(Direct_Cost_Splits_Network,MATCH($H8,RIN_Asset_Cat_Network,0),MATCH($BW$4,Direct_Cost_Type,0))*$Q8*INDEX(Act_Type_Repex_Splits,MATCH($I8,Act_Type_Repex,0),MATCH(BR$4,Mat_Type,0))*INDEX(Escalators!$I$44:$U$49,MATCH(BR$4,Escalators!$C$44:$C$49,0),MATCH(BR$5,Escalators!$I$43:$U$43,0))</f>
        <v>0</v>
      </c>
      <c r="BS8" s="47">
        <f>INDEX(Direct_Cost_Splits_Network,MATCH($H8,RIN_Asset_Cat_Network,0),MATCH($BW$4,Direct_Cost_Type,0))*$Q8*INDEX(Act_Type_Repex_Splits,MATCH($I8,Act_Type_Repex,0),MATCH(BS$4,Mat_Type,0))*INDEX(Escalators!$I$44:$U$49,MATCH(BS$4,Escalators!$C$44:$C$49,0),MATCH(BS$5,Escalators!$I$43:$U$43,0))</f>
        <v>0</v>
      </c>
      <c r="BT8" s="47">
        <f>INDEX(Direct_Cost_Splits_Network,MATCH($H8,RIN_Asset_Cat_Network,0),MATCH($BW$4,Direct_Cost_Type,0))*$Q8*INDEX(Act_Type_Repex_Splits,MATCH($I8,Act_Type_Repex,0),MATCH(BT$4,Mat_Type,0))*INDEX(Escalators!$I$44:$U$49,MATCH(BT$4,Escalators!$C$44:$C$49,0),MATCH(BT$5,Escalators!$I$43:$U$43,0))</f>
        <v>0</v>
      </c>
      <c r="BU8" s="47">
        <f>INDEX(Direct_Cost_Splits_Network,MATCH($H8,RIN_Asset_Cat_Network,0),MATCH($BW$4,Direct_Cost_Type,0))*$Q8*INDEX(Act_Type_Repex_Splits,MATCH($I8,Act_Type_Repex,0),MATCH(BU$4,Mat_Type,0))*INDEX(Escalators!$I$44:$U$49,MATCH(BU$4,Escalators!$C$44:$C$49,0),MATCH(BU$5,Escalators!$I$43:$U$43,0))</f>
        <v>0</v>
      </c>
      <c r="BV8" s="47">
        <f>INDEX(Direct_Cost_Splits_Network,MATCH($H8,RIN_Asset_Cat_Network,0),MATCH($BW$4,Direct_Cost_Type,0))*$Q8*INDEX(Act_Type_Repex_Splits,MATCH($I8,Act_Type_Repex,0),MATCH(BV$4,Mat_Type,0))*INDEX(Escalators!$I$44:$U$49,MATCH(BV$4,Escalators!$C$44:$C$49,0),MATCH(BV$5,Escalators!$I$43:$U$43,0))</f>
        <v>0</v>
      </c>
      <c r="BW8" s="47">
        <f t="shared" si="24"/>
        <v>0</v>
      </c>
      <c r="BY8" s="47">
        <f>INDEX(Direct_Cost_Splits_Network,MATCH($H8,RIN_Asset_Cat_Network,0),MATCH($BY$4,Direct_Cost_Type,0))*J8*HLOOKUP(BY$5,Escalators!$I$25:$U$30,6,FALSE)</f>
        <v>0</v>
      </c>
      <c r="BZ8" s="47">
        <f>INDEX(Direct_Cost_Splits_Network,MATCH($H8,RIN_Asset_Cat_Network,0),MATCH($BY$4,Direct_Cost_Type,0))*K8*HLOOKUP(BZ$5,Escalators!$I$25:$U$30,6,FALSE)</f>
        <v>0</v>
      </c>
      <c r="CA8" s="47">
        <f>INDEX(Direct_Cost_Splits_Network,MATCH($H8,RIN_Asset_Cat_Network,0),MATCH($BY$4,Direct_Cost_Type,0))*L8*HLOOKUP(CA$5,Escalators!$I$25:$U$30,6,FALSE)</f>
        <v>0</v>
      </c>
      <c r="CB8" s="47">
        <f>INDEX(Direct_Cost_Splits_Network,MATCH($H8,RIN_Asset_Cat_Network,0),MATCH($BY$4,Direct_Cost_Type,0))*M8*HLOOKUP(CB$5,Escalators!$I$25:$U$30,6,FALSE)</f>
        <v>517.24984231370308</v>
      </c>
      <c r="CC8" s="47">
        <f>INDEX(Direct_Cost_Splits_Network,MATCH($H8,RIN_Asset_Cat_Network,0),MATCH($BY$4,Direct_Cost_Type,0))*N8*HLOOKUP(CC$5,Escalators!$I$25:$U$30,6,FALSE)</f>
        <v>522.55690962060464</v>
      </c>
      <c r="CD8" s="47">
        <f>INDEX(Direct_Cost_Splits_Network,MATCH($H8,RIN_Asset_Cat_Network,0),MATCH($BY$4,Direct_Cost_Type,0))*O8*HLOOKUP(CD$5,Escalators!$I$25:$U$30,6,FALSE)</f>
        <v>372.8341073457172</v>
      </c>
      <c r="CE8" s="47">
        <f>INDEX(Direct_Cost_Splits_Network,MATCH($H8,RIN_Asset_Cat_Network,0),MATCH($BY$4,Direct_Cost_Type,0))*P8*HLOOKUP(CE$5,Escalators!$I$25:$U$30,6,FALSE)</f>
        <v>0</v>
      </c>
      <c r="CF8" s="47">
        <f>INDEX(Direct_Cost_Splits_Network,MATCH($H8,RIN_Asset_Cat_Network,0),MATCH($BY$4,Direct_Cost_Type,0))*Q8*HLOOKUP(CF$5,Escalators!$I$25:$U$30,6,FALSE)</f>
        <v>0</v>
      </c>
      <c r="CH8" s="83">
        <f t="shared" si="8"/>
        <v>0</v>
      </c>
      <c r="CI8" s="83">
        <f t="shared" si="8"/>
        <v>0</v>
      </c>
      <c r="CJ8" s="83">
        <f t="shared" si="8"/>
        <v>0</v>
      </c>
      <c r="CK8" s="83">
        <f t="shared" si="8"/>
        <v>77.488679070430479</v>
      </c>
      <c r="CL8" s="83">
        <f t="shared" si="8"/>
        <v>77.488679070430479</v>
      </c>
      <c r="CM8" s="83">
        <f t="shared" si="8"/>
        <v>54.69789110853916</v>
      </c>
      <c r="CN8" s="83">
        <f t="shared" si="8"/>
        <v>0</v>
      </c>
      <c r="CO8" s="83">
        <f t="shared" si="8"/>
        <v>0</v>
      </c>
      <c r="CQ8" s="47">
        <f t="shared" si="9"/>
        <v>0</v>
      </c>
      <c r="CR8" s="47">
        <f t="shared" si="10"/>
        <v>0</v>
      </c>
      <c r="CS8" s="47">
        <f t="shared" si="11"/>
        <v>0</v>
      </c>
      <c r="CT8" s="47">
        <f t="shared" si="12"/>
        <v>869.33367545615306</v>
      </c>
      <c r="CU8" s="47">
        <f t="shared" si="13"/>
        <v>875.54036303034889</v>
      </c>
      <c r="CV8" s="47">
        <f t="shared" si="14"/>
        <v>622.67193601315182</v>
      </c>
      <c r="CW8" s="47">
        <f t="shared" si="15"/>
        <v>0</v>
      </c>
      <c r="CX8" s="47">
        <f t="shared" si="16"/>
        <v>0</v>
      </c>
    </row>
    <row r="9" spans="2:102" x14ac:dyDescent="0.3">
      <c r="B9" s="7"/>
      <c r="C9" s="7" t="s">
        <v>439</v>
      </c>
      <c r="D9" s="7" t="s">
        <v>112</v>
      </c>
      <c r="E9" s="7" t="s">
        <v>48</v>
      </c>
      <c r="F9" s="7" t="s">
        <v>48</v>
      </c>
      <c r="G9" s="7" t="s">
        <v>150</v>
      </c>
      <c r="H9" s="7" t="s">
        <v>323</v>
      </c>
      <c r="I9" s="7" t="s">
        <v>240</v>
      </c>
      <c r="J9" s="45"/>
      <c r="K9" s="45"/>
      <c r="L9" s="45"/>
      <c r="M9" s="45">
        <v>200</v>
      </c>
      <c r="N9" s="45">
        <v>200</v>
      </c>
      <c r="O9" s="45">
        <v>200</v>
      </c>
      <c r="P9" s="45">
        <v>200</v>
      </c>
      <c r="Q9" s="45">
        <v>180</v>
      </c>
      <c r="S9" s="47">
        <f>INDEX(Direct_Cost_Splits_Network,MATCH($H9,RIN_Asset_Cat_Network,0),MATCH($S$4,Direct_Cost_Type,0))*J9*HLOOKUP(S$5,Escalators!$I$25:$U$30,3,FALSE)</f>
        <v>0</v>
      </c>
      <c r="T9" s="47">
        <f>INDEX(Direct_Cost_Splits_Network,MATCH($H9,RIN_Asset_Cat_Network,0),MATCH($S$4,Direct_Cost_Type,0))*K9*HLOOKUP(T$5,Escalators!$I$25:$U$30,3,FALSE)</f>
        <v>0</v>
      </c>
      <c r="U9" s="47">
        <f>INDEX(Direct_Cost_Splits_Network,MATCH($H9,RIN_Asset_Cat_Network,0),MATCH($S$4,Direct_Cost_Type,0))*L9*HLOOKUP(U$5,Escalators!$I$25:$U$30,3,FALSE)</f>
        <v>0</v>
      </c>
      <c r="V9" s="47">
        <f>INDEX(Direct_Cost_Splits_Network,MATCH($H9,RIN_Asset_Cat_Network,0),MATCH($S$4,Direct_Cost_Type,0))*M9*HLOOKUP(V$5,Escalators!$I$25:$U$30,3,FALSE)</f>
        <v>20.630800158302272</v>
      </c>
      <c r="W9" s="47">
        <f>INDEX(Direct_Cost_Splits_Network,MATCH($H9,RIN_Asset_Cat_Network,0),MATCH($S$4,Direct_Cost_Type,0))*N9*HLOOKUP(W$5,Escalators!$I$25:$U$30,3,FALSE)</f>
        <v>20.842475515312707</v>
      </c>
      <c r="X9" s="47">
        <f>INDEX(Direct_Cost_Splits_Network,MATCH($H9,RIN_Asset_Cat_Network,0),MATCH($S$4,Direct_Cost_Type,0))*O9*HLOOKUP(X$5,Escalators!$I$25:$U$30,3,FALSE)</f>
        <v>21.066821523733452</v>
      </c>
      <c r="Y9" s="47">
        <f>INDEX(Direct_Cost_Splits_Network,MATCH($H9,RIN_Asset_Cat_Network,0),MATCH($S$4,Direct_Cost_Type,0))*P9*HLOOKUP(Y$5,Escalators!$I$25:$U$30,3,FALSE)</f>
        <v>21.266013782764109</v>
      </c>
      <c r="Z9" s="47">
        <f>INDEX(Direct_Cost_Splits_Network,MATCH($H9,RIN_Asset_Cat_Network,0),MATCH($S$4,Direct_Cost_Type,0))*Q9*HLOOKUP(Z$5,Escalators!$I$25:$U$30,3,FALSE)</f>
        <v>19.30783923364719</v>
      </c>
      <c r="AB9" s="47">
        <f>INDEX(Direct_Cost_Splits_Network,MATCH($H9,RIN_Asset_Cat_Network,0),MATCH($AG$4,Direct_Cost_Type,0))*$J9*INDEX(Act_Type_Repex_Splits,MATCH($I9,Act_Type_Repex,0),MATCH(AB$4,Mat_Type,0))*INDEX(Escalators!$I$44:$Q$49,MATCH(AB$4,Escalators!$C$44:$C$49,0),MATCH(AB$5,Escalators!$I$43:$Q$43,0))</f>
        <v>0</v>
      </c>
      <c r="AC9" s="47">
        <f>INDEX(Direct_Cost_Splits_Network,MATCH($H9,RIN_Asset_Cat_Network,0),MATCH($AG$4,Direct_Cost_Type,0))*$J9*INDEX(Act_Type_Repex_Splits,MATCH($I9,Act_Type_Repex,0),MATCH(AC$4,Mat_Type,0))*INDEX(Escalators!$I$44:$Q$49,MATCH(AC$4,Escalators!$C$44:$C$49,0),MATCH(AC$5,Escalators!$I$43:$Q$43,0))</f>
        <v>0</v>
      </c>
      <c r="AD9" s="47">
        <f>INDEX(Direct_Cost_Splits_Network,MATCH($H9,RIN_Asset_Cat_Network,0),MATCH($AG$4,Direct_Cost_Type,0))*$J9*INDEX(Act_Type_Repex_Splits,MATCH($I9,Act_Type_Repex,0),MATCH(AD$4,Mat_Type,0))*INDEX(Escalators!$I$44:$Q$49,MATCH(AD$4,Escalators!$C$44:$C$49,0),MATCH(AD$5,Escalators!$I$43:$Q$43,0))</f>
        <v>0</v>
      </c>
      <c r="AE9" s="47">
        <f>INDEX(Direct_Cost_Splits_Network,MATCH($H9,RIN_Asset_Cat_Network,0),MATCH($AG$4,Direct_Cost_Type,0))*$J9*INDEX(Act_Type_Repex_Splits,MATCH($I9,Act_Type_Repex,0),MATCH(AE$4,Mat_Type,0))*INDEX(Escalators!$I$44:$Q$49,MATCH(AE$4,Escalators!$C$44:$C$49,0),MATCH(AE$5,Escalators!$I$43:$Q$43,0))</f>
        <v>0</v>
      </c>
      <c r="AF9" s="47">
        <f>INDEX(Direct_Cost_Splits_Network,MATCH($H9,RIN_Asset_Cat_Network,0),MATCH($AG$4,Direct_Cost_Type,0))*$J9*INDEX(Act_Type_Repex_Splits,MATCH($I9,Act_Type_Repex,0),MATCH(AF$4,Mat_Type,0))*INDEX(Escalators!$I$44:$Q$49,MATCH(AF$4,Escalators!$C$44:$C$49,0),MATCH(AF$5,Escalators!$I$43:$Q$43,0))</f>
        <v>0</v>
      </c>
      <c r="AG9" s="47">
        <f t="shared" si="17"/>
        <v>0</v>
      </c>
      <c r="AH9" s="47">
        <f>INDEX(Direct_Cost_Splits_Network,MATCH($H9,RIN_Asset_Cat_Network,0),MATCH($AY$4,Direct_Cost_Type,0))*$K9*INDEX(Act_Type_Repex_Splits,MATCH($I9,Act_Type_Repex,0),MATCH(AH$4,Mat_Type,0))*INDEX(Escalators!$I$44:$U$49,MATCH(AH$4,Escalators!$C$44:$C$49,0),MATCH(AH$5,Escalators!$I$43:$U$43,0))</f>
        <v>0</v>
      </c>
      <c r="AI9" s="47">
        <f>INDEX(Direct_Cost_Splits_Network,MATCH($H9,RIN_Asset_Cat_Network,0),MATCH($AY$4,Direct_Cost_Type,0))*$K9*INDEX(Act_Type_Repex_Splits,MATCH($I9,Act_Type_Repex,0),MATCH(AI$4,Mat_Type,0))*INDEX(Escalators!$I$44:$U$49,MATCH(AI$4,Escalators!$C$44:$C$49,0),MATCH(AI$5,Escalators!$I$43:$U$43,0))</f>
        <v>0</v>
      </c>
      <c r="AJ9" s="47">
        <f>INDEX(Direct_Cost_Splits_Network,MATCH($H9,RIN_Asset_Cat_Network,0),MATCH($AY$4,Direct_Cost_Type,0))*$K9*INDEX(Act_Type_Repex_Splits,MATCH($I9,Act_Type_Repex,0),MATCH(AJ$4,Mat_Type,0))*INDEX(Escalators!$I$44:$U$49,MATCH(AJ$4,Escalators!$C$44:$C$49,0),MATCH(AJ$5,Escalators!$I$43:$U$43,0))</f>
        <v>0</v>
      </c>
      <c r="AK9" s="47">
        <f>INDEX(Direct_Cost_Splits_Network,MATCH($H9,RIN_Asset_Cat_Network,0),MATCH($AY$4,Direct_Cost_Type,0))*$K9*INDEX(Act_Type_Repex_Splits,MATCH($I9,Act_Type_Repex,0),MATCH(AK$4,Mat_Type,0))*INDEX(Escalators!$I$44:$U$49,MATCH(AK$4,Escalators!$C$44:$C$49,0),MATCH(AK$5,Escalators!$I$43:$U$43,0))</f>
        <v>0</v>
      </c>
      <c r="AL9" s="47">
        <f>INDEX(Direct_Cost_Splits_Network,MATCH($H9,RIN_Asset_Cat_Network,0),MATCH($AY$4,Direct_Cost_Type,0))*$K9*INDEX(Act_Type_Repex_Splits,MATCH($I9,Act_Type_Repex,0),MATCH(AL$4,Mat_Type,0))*INDEX(Escalators!$I$44:$U$49,MATCH(AL$4,Escalators!$C$44:$C$49,0),MATCH(AL$5,Escalators!$I$43:$U$43,0))</f>
        <v>0</v>
      </c>
      <c r="AM9" s="47">
        <f t="shared" si="18"/>
        <v>0</v>
      </c>
      <c r="AN9" s="47">
        <f>INDEX(Direct_Cost_Splits_Network,MATCH($H9,RIN_Asset_Cat_Network,0),MATCH($AY$4,Direct_Cost_Type,0))*$L9*INDEX(Act_Type_Repex_Splits,MATCH($I9,Act_Type_Repex,0),MATCH(AN$4,Mat_Type,0))*INDEX(Escalators!$I$44:$U$49,MATCH(AN$4,Escalators!$C$44:$C$49,0),MATCH(AN$5,Escalators!$I$43:$U$43,0))</f>
        <v>0</v>
      </c>
      <c r="AO9" s="47">
        <f>INDEX(Direct_Cost_Splits_Network,MATCH($H9,RIN_Asset_Cat_Network,0),MATCH($AY$4,Direct_Cost_Type,0))*$L9*INDEX(Act_Type_Repex_Splits,MATCH($I9,Act_Type_Repex,0),MATCH(AO$4,Mat_Type,0))*INDEX(Escalators!$I$44:$U$49,MATCH(AO$4,Escalators!$C$44:$C$49,0),MATCH(AO$5,Escalators!$I$43:$U$43,0))</f>
        <v>0</v>
      </c>
      <c r="AP9" s="47">
        <f>INDEX(Direct_Cost_Splits_Network,MATCH($H9,RIN_Asset_Cat_Network,0),MATCH($AY$4,Direct_Cost_Type,0))*$L9*INDEX(Act_Type_Repex_Splits,MATCH($I9,Act_Type_Repex,0),MATCH(AP$4,Mat_Type,0))*INDEX(Escalators!$I$44:$U$49,MATCH(AP$4,Escalators!$C$44:$C$49,0),MATCH(AP$5,Escalators!$I$43:$U$43,0))</f>
        <v>0</v>
      </c>
      <c r="AQ9" s="47">
        <f>INDEX(Direct_Cost_Splits_Network,MATCH($H9,RIN_Asset_Cat_Network,0),MATCH($AY$4,Direct_Cost_Type,0))*$L9*INDEX(Act_Type_Repex_Splits,MATCH($I9,Act_Type_Repex,0),MATCH(AQ$4,Mat_Type,0))*INDEX(Escalators!$I$44:$U$49,MATCH(AQ$4,Escalators!$C$44:$C$49,0),MATCH(AQ$5,Escalators!$I$43:$U$43,0))</f>
        <v>0</v>
      </c>
      <c r="AR9" s="47">
        <f>INDEX(Direct_Cost_Splits_Network,MATCH($H9,RIN_Asset_Cat_Network,0),MATCH($AY$4,Direct_Cost_Type,0))*$L9*INDEX(Act_Type_Repex_Splits,MATCH($I9,Act_Type_Repex,0),MATCH(AR$4,Mat_Type,0))*INDEX(Escalators!$I$44:$U$49,MATCH(AR$4,Escalators!$C$44:$C$49,0),MATCH(AR$5,Escalators!$I$43:$U$43,0))</f>
        <v>0</v>
      </c>
      <c r="AS9" s="47">
        <f t="shared" si="19"/>
        <v>0</v>
      </c>
      <c r="AT9" s="47">
        <f>INDEX(Direct_Cost_Splits_Network,MATCH($H9,RIN_Asset_Cat_Network,0),MATCH($AY$4,Direct_Cost_Type,0))*$M9*INDEX(Act_Type_Repex_Splits,MATCH($I9,Act_Type_Repex,0),MATCH(AT$4,Mat_Type,0))*INDEX(Escalators!$I$44:$U$49,MATCH(AT$4,Escalators!$C$44:$C$49,0),MATCH(AT$5,Escalators!$I$43:$U$43,0))</f>
        <v>0</v>
      </c>
      <c r="AU9" s="47">
        <f>INDEX(Direct_Cost_Splits_Network,MATCH($H9,RIN_Asset_Cat_Network,0),MATCH($AY$4,Direct_Cost_Type,0))*$M9*INDEX(Act_Type_Repex_Splits,MATCH($I9,Act_Type_Repex,0),MATCH(AU$4,Mat_Type,0))*INDEX(Escalators!$I$44:$U$49,MATCH(AU$4,Escalators!$C$44:$C$49,0),MATCH(AU$5,Escalators!$I$43:$U$43,0))</f>
        <v>0</v>
      </c>
      <c r="AV9" s="47">
        <f>INDEX(Direct_Cost_Splits_Network,MATCH($H9,RIN_Asset_Cat_Network,0),MATCH($AY$4,Direct_Cost_Type,0))*$M9*INDEX(Act_Type_Repex_Splits,MATCH($I9,Act_Type_Repex,0),MATCH(AV$4,Mat_Type,0))*INDEX(Escalators!$I$44:$U$49,MATCH(AV$4,Escalators!$C$44:$C$49,0),MATCH(AV$5,Escalators!$I$43:$U$43,0))</f>
        <v>8.7959648658463419</v>
      </c>
      <c r="AW9" s="47">
        <f>INDEX(Direct_Cost_Splits_Network,MATCH($H9,RIN_Asset_Cat_Network,0),MATCH($AY$4,Direct_Cost_Type,0))*$M9*INDEX(Act_Type_Repex_Splits,MATCH($I9,Act_Type_Repex,0),MATCH(AW$4,Mat_Type,0))*INDEX(Escalators!$I$44:$U$49,MATCH(AW$4,Escalators!$C$44:$C$49,0),MATCH(AW$5,Escalators!$I$43:$U$43,0))</f>
        <v>0</v>
      </c>
      <c r="AX9" s="47">
        <f>INDEX(Direct_Cost_Splits_Network,MATCH($H9,RIN_Asset_Cat_Network,0),MATCH($AY$4,Direct_Cost_Type,0))*$M9*INDEX(Act_Type_Repex_Splits,MATCH($I9,Act_Type_Repex,0),MATCH(AX$4,Mat_Type,0))*INDEX(Escalators!$I$44:$U$49,MATCH(AX$4,Escalators!$C$44:$C$49,0),MATCH(AX$5,Escalators!$I$43:$U$43,0))</f>
        <v>35.183859463385367</v>
      </c>
      <c r="AY9" s="47">
        <f t="shared" si="20"/>
        <v>43.979824329231711</v>
      </c>
      <c r="AZ9" s="47">
        <f>INDEX(Direct_Cost_Splits_Network,MATCH($H9,RIN_Asset_Cat_Network,0),MATCH($BE$4,Direct_Cost_Type,0))*$N9*INDEX(Act_Type_Repex_Splits,MATCH($I9,Act_Type_Repex,0),MATCH(AZ$4,Mat_Type,0))*INDEX(Escalators!$I$44:$U$49,MATCH(AZ$4,Escalators!$C$44:$C$49,0),MATCH(AZ$5,Escalators!$I$43:$U$43,0))</f>
        <v>0</v>
      </c>
      <c r="BA9" s="47">
        <f>INDEX(Direct_Cost_Splits_Network,MATCH($H9,RIN_Asset_Cat_Network,0),MATCH($BE$4,Direct_Cost_Type,0))*$N9*INDEX(Act_Type_Repex_Splits,MATCH($I9,Act_Type_Repex,0),MATCH(BA$4,Mat_Type,0))*INDEX(Escalators!$I$44:$U$49,MATCH(BA$4,Escalators!$C$44:$C$49,0),MATCH(BA$5,Escalators!$I$43:$U$43,0))</f>
        <v>0</v>
      </c>
      <c r="BB9" s="47">
        <f>INDEX(Direct_Cost_Splits_Network,MATCH($H9,RIN_Asset_Cat_Network,0),MATCH($BE$4,Direct_Cost_Type,0))*$N9*INDEX(Act_Type_Repex_Splits,MATCH($I9,Act_Type_Repex,0),MATCH(BB$4,Mat_Type,0))*INDEX(Escalators!$I$44:$U$49,MATCH(BB$4,Escalators!$C$44:$C$49,0),MATCH(BB$5,Escalators!$I$43:$U$43,0))</f>
        <v>8.7959648658463419</v>
      </c>
      <c r="BC9" s="47">
        <f>INDEX(Direct_Cost_Splits_Network,MATCH($H9,RIN_Asset_Cat_Network,0),MATCH($BE$4,Direct_Cost_Type,0))*$N9*INDEX(Act_Type_Repex_Splits,MATCH($I9,Act_Type_Repex,0),MATCH(BC$4,Mat_Type,0))*INDEX(Escalators!$I$44:$U$49,MATCH(BC$4,Escalators!$C$44:$C$49,0),MATCH(BC$5,Escalators!$I$43:$U$43,0))</f>
        <v>0</v>
      </c>
      <c r="BD9" s="47">
        <f>INDEX(Direct_Cost_Splits_Network,MATCH($H9,RIN_Asset_Cat_Network,0),MATCH($BE$4,Direct_Cost_Type,0))*$N9*INDEX(Act_Type_Repex_Splits,MATCH($I9,Act_Type_Repex,0),MATCH(BD$4,Mat_Type,0))*INDEX(Escalators!$I$44:$U$49,MATCH(BD$4,Escalators!$C$44:$C$49,0),MATCH(BD$5,Escalators!$I$43:$U$43,0))</f>
        <v>35.183859463385367</v>
      </c>
      <c r="BE9" s="47">
        <f t="shared" si="21"/>
        <v>43.979824329231711</v>
      </c>
      <c r="BF9" s="47">
        <f>INDEX(Direct_Cost_Splits_Network,MATCH($H9,RIN_Asset_Cat_Network,0),MATCH($BK$4,Direct_Cost_Type,0))*$O9*INDEX(Act_Type_Repex_Splits,MATCH($I9,Act_Type_Repex,0),MATCH(BF$4,Mat_Type,0))*INDEX(Escalators!$I$44:$U$49,MATCH(BF$4,Escalators!$C$44:$C$49,0),MATCH(BF$5,Escalators!$I$43:$U$43,0))</f>
        <v>0</v>
      </c>
      <c r="BG9" s="47">
        <f>INDEX(Direct_Cost_Splits_Network,MATCH($H9,RIN_Asset_Cat_Network,0),MATCH($BK$4,Direct_Cost_Type,0))*$O9*INDEX(Act_Type_Repex_Splits,MATCH($I9,Act_Type_Repex,0),MATCH(BG$4,Mat_Type,0))*INDEX(Escalators!$I$44:$U$49,MATCH(BG$4,Escalators!$C$44:$C$49,0),MATCH(BG$5,Escalators!$I$43:$U$43,0))</f>
        <v>0</v>
      </c>
      <c r="BH9" s="47">
        <f>INDEX(Direct_Cost_Splits_Network,MATCH($H9,RIN_Asset_Cat_Network,0),MATCH($BK$4,Direct_Cost_Type,0))*$O9*INDEX(Act_Type_Repex_Splits,MATCH($I9,Act_Type_Repex,0),MATCH(BH$4,Mat_Type,0))*INDEX(Escalators!$I$44:$U$49,MATCH(BH$4,Escalators!$C$44:$C$49,0),MATCH(BH$5,Escalators!$I$43:$U$43,0))</f>
        <v>8.7959648658463419</v>
      </c>
      <c r="BI9" s="47">
        <f>INDEX(Direct_Cost_Splits_Network,MATCH($H9,RIN_Asset_Cat_Network,0),MATCH($BK$4,Direct_Cost_Type,0))*$O9*INDEX(Act_Type_Repex_Splits,MATCH($I9,Act_Type_Repex,0),MATCH(BI$4,Mat_Type,0))*INDEX(Escalators!$I$44:$U$49,MATCH(BI$4,Escalators!$C$44:$C$49,0),MATCH(BI$5,Escalators!$I$43:$U$43,0))</f>
        <v>0</v>
      </c>
      <c r="BJ9" s="47">
        <f>INDEX(Direct_Cost_Splits_Network,MATCH($H9,RIN_Asset_Cat_Network,0),MATCH($BK$4,Direct_Cost_Type,0))*$O9*INDEX(Act_Type_Repex_Splits,MATCH($I9,Act_Type_Repex,0),MATCH(BJ$4,Mat_Type,0))*INDEX(Escalators!$I$44:$U$49,MATCH(BJ$4,Escalators!$C$44:$C$49,0),MATCH(BJ$5,Escalators!$I$43:$U$43,0))</f>
        <v>35.183859463385367</v>
      </c>
      <c r="BK9" s="47">
        <f t="shared" si="22"/>
        <v>43.979824329231711</v>
      </c>
      <c r="BL9" s="47">
        <f>INDEX(Direct_Cost_Splits_Network,MATCH($H9,RIN_Asset_Cat_Network,0),MATCH($BQ$4,Direct_Cost_Type,0))*$P9*INDEX(Act_Type_Repex_Splits,MATCH($I9,Act_Type_Repex,0),MATCH(BL$4,Mat_Type,0))*INDEX(Escalators!$I$44:$U$49,MATCH(BL$4,Escalators!$C$44:$C$49,0),MATCH(BL$5,Escalators!$I$43:$U$43,0))</f>
        <v>0</v>
      </c>
      <c r="BM9" s="47">
        <f>INDEX(Direct_Cost_Splits_Network,MATCH($H9,RIN_Asset_Cat_Network,0),MATCH($BQ$4,Direct_Cost_Type,0))*$P9*INDEX(Act_Type_Repex_Splits,MATCH($I9,Act_Type_Repex,0),MATCH(BM$4,Mat_Type,0))*INDEX(Escalators!$I$44:$U$49,MATCH(BM$4,Escalators!$C$44:$C$49,0),MATCH(BM$5,Escalators!$I$43:$U$43,0))</f>
        <v>0</v>
      </c>
      <c r="BN9" s="47">
        <f>INDEX(Direct_Cost_Splits_Network,MATCH($H9,RIN_Asset_Cat_Network,0),MATCH($BQ$4,Direct_Cost_Type,0))*$P9*INDEX(Act_Type_Repex_Splits,MATCH($I9,Act_Type_Repex,0),MATCH(BN$4,Mat_Type,0))*INDEX(Escalators!$I$44:$U$49,MATCH(BN$4,Escalators!$C$44:$C$49,0),MATCH(BN$5,Escalators!$I$43:$U$43,0))</f>
        <v>8.7959648658463419</v>
      </c>
      <c r="BO9" s="47">
        <f>INDEX(Direct_Cost_Splits_Network,MATCH($H9,RIN_Asset_Cat_Network,0),MATCH($BQ$4,Direct_Cost_Type,0))*$P9*INDEX(Act_Type_Repex_Splits,MATCH($I9,Act_Type_Repex,0),MATCH(BO$4,Mat_Type,0))*INDEX(Escalators!$I$44:$U$49,MATCH(BO$4,Escalators!$C$44:$C$49,0),MATCH(BO$5,Escalators!$I$43:$U$43,0))</f>
        <v>0</v>
      </c>
      <c r="BP9" s="47">
        <f>INDEX(Direct_Cost_Splits_Network,MATCH($H9,RIN_Asset_Cat_Network,0),MATCH($BQ$4,Direct_Cost_Type,0))*$P9*INDEX(Act_Type_Repex_Splits,MATCH($I9,Act_Type_Repex,0),MATCH(BP$4,Mat_Type,0))*INDEX(Escalators!$I$44:$U$49,MATCH(BP$4,Escalators!$C$44:$C$49,0),MATCH(BP$5,Escalators!$I$43:$U$43,0))</f>
        <v>35.183859463385367</v>
      </c>
      <c r="BQ9" s="47">
        <f t="shared" si="23"/>
        <v>43.979824329231711</v>
      </c>
      <c r="BR9" s="47">
        <f>INDEX(Direct_Cost_Splits_Network,MATCH($H9,RIN_Asset_Cat_Network,0),MATCH($BW$4,Direct_Cost_Type,0))*$Q9*INDEX(Act_Type_Repex_Splits,MATCH($I9,Act_Type_Repex,0),MATCH(BR$4,Mat_Type,0))*INDEX(Escalators!$I$44:$U$49,MATCH(BR$4,Escalators!$C$44:$C$49,0),MATCH(BR$5,Escalators!$I$43:$U$43,0))</f>
        <v>0</v>
      </c>
      <c r="BS9" s="47">
        <f>INDEX(Direct_Cost_Splits_Network,MATCH($H9,RIN_Asset_Cat_Network,0),MATCH($BW$4,Direct_Cost_Type,0))*$Q9*INDEX(Act_Type_Repex_Splits,MATCH($I9,Act_Type_Repex,0),MATCH(BS$4,Mat_Type,0))*INDEX(Escalators!$I$44:$U$49,MATCH(BS$4,Escalators!$C$44:$C$49,0),MATCH(BS$5,Escalators!$I$43:$U$43,0))</f>
        <v>0</v>
      </c>
      <c r="BT9" s="47">
        <f>INDEX(Direct_Cost_Splits_Network,MATCH($H9,RIN_Asset_Cat_Network,0),MATCH($BW$4,Direct_Cost_Type,0))*$Q9*INDEX(Act_Type_Repex_Splits,MATCH($I9,Act_Type_Repex,0),MATCH(BT$4,Mat_Type,0))*INDEX(Escalators!$I$44:$U$49,MATCH(BT$4,Escalators!$C$44:$C$49,0),MATCH(BT$5,Escalators!$I$43:$U$43,0))</f>
        <v>7.9163683792617086</v>
      </c>
      <c r="BU9" s="47">
        <f>INDEX(Direct_Cost_Splits_Network,MATCH($H9,RIN_Asset_Cat_Network,0),MATCH($BW$4,Direct_Cost_Type,0))*$Q9*INDEX(Act_Type_Repex_Splits,MATCH($I9,Act_Type_Repex,0),MATCH(BU$4,Mat_Type,0))*INDEX(Escalators!$I$44:$U$49,MATCH(BU$4,Escalators!$C$44:$C$49,0),MATCH(BU$5,Escalators!$I$43:$U$43,0))</f>
        <v>0</v>
      </c>
      <c r="BV9" s="47">
        <f>INDEX(Direct_Cost_Splits_Network,MATCH($H9,RIN_Asset_Cat_Network,0),MATCH($BW$4,Direct_Cost_Type,0))*$Q9*INDEX(Act_Type_Repex_Splits,MATCH($I9,Act_Type_Repex,0),MATCH(BV$4,Mat_Type,0))*INDEX(Escalators!$I$44:$U$49,MATCH(BV$4,Escalators!$C$44:$C$49,0),MATCH(BV$5,Escalators!$I$43:$U$43,0))</f>
        <v>31.665473517046834</v>
      </c>
      <c r="BW9" s="47">
        <f t="shared" si="24"/>
        <v>39.581841896308546</v>
      </c>
      <c r="BY9" s="47">
        <f>INDEX(Direct_Cost_Splits_Network,MATCH($H9,RIN_Asset_Cat_Network,0),MATCH($BY$4,Direct_Cost_Type,0))*J9*HLOOKUP(BY$5,Escalators!$I$25:$U$30,6,FALSE)</f>
        <v>0</v>
      </c>
      <c r="BZ9" s="47">
        <f>INDEX(Direct_Cost_Splits_Network,MATCH($H9,RIN_Asset_Cat_Network,0),MATCH($BY$4,Direct_Cost_Type,0))*K9*HLOOKUP(BZ$5,Escalators!$I$25:$U$30,6,FALSE)</f>
        <v>0</v>
      </c>
      <c r="CA9" s="47">
        <f>INDEX(Direct_Cost_Splits_Network,MATCH($H9,RIN_Asset_Cat_Network,0),MATCH($BY$4,Direct_Cost_Type,0))*L9*HLOOKUP(CA$5,Escalators!$I$25:$U$30,6,FALSE)</f>
        <v>0</v>
      </c>
      <c r="CB9" s="47">
        <f>INDEX(Direct_Cost_Splits_Network,MATCH($H9,RIN_Asset_Cat_Network,0),MATCH($BY$4,Direct_Cost_Type,0))*M9*HLOOKUP(CB$5,Escalators!$I$25:$U$30,6,FALSE)</f>
        <v>121.70584525028309</v>
      </c>
      <c r="CC9" s="47">
        <f>INDEX(Direct_Cost_Splits_Network,MATCH($H9,RIN_Asset_Cat_Network,0),MATCH($BY$4,Direct_Cost_Type,0))*N9*HLOOKUP(CC$5,Escalators!$I$25:$U$30,6,FALSE)</f>
        <v>122.95456696955404</v>
      </c>
      <c r="CD9" s="47">
        <f>INDEX(Direct_Cost_Splits_Network,MATCH($H9,RIN_Asset_Cat_Network,0),MATCH($BY$4,Direct_Cost_Type,0))*O9*HLOOKUP(CD$5,Escalators!$I$25:$U$30,6,FALSE)</f>
        <v>124.27803578190574</v>
      </c>
      <c r="CE9" s="47">
        <f>INDEX(Direct_Cost_Splits_Network,MATCH($H9,RIN_Asset_Cat_Network,0),MATCH($BY$4,Direct_Cost_Type,0))*P9*HLOOKUP(CE$5,Escalators!$I$25:$U$30,6,FALSE)</f>
        <v>125.45311682901112</v>
      </c>
      <c r="CF9" s="47">
        <f>INDEX(Direct_Cost_Splits_Network,MATCH($H9,RIN_Asset_Cat_Network,0),MATCH($BY$4,Direct_Cost_Type,0))*Q9*HLOOKUP(CF$5,Escalators!$I$25:$U$30,6,FALSE)</f>
        <v>113.90139383139578</v>
      </c>
      <c r="CH9" s="83">
        <f t="shared" si="8"/>
        <v>0</v>
      </c>
      <c r="CI9" s="83">
        <f t="shared" si="8"/>
        <v>0</v>
      </c>
      <c r="CJ9" s="83">
        <f t="shared" si="8"/>
        <v>0</v>
      </c>
      <c r="CK9" s="83">
        <f t="shared" si="8"/>
        <v>18.232630369513053</v>
      </c>
      <c r="CL9" s="83">
        <f t="shared" si="8"/>
        <v>18.232630369513053</v>
      </c>
      <c r="CM9" s="83">
        <f t="shared" si="8"/>
        <v>18.232630369513053</v>
      </c>
      <c r="CN9" s="83">
        <f t="shared" si="8"/>
        <v>18.232630369513053</v>
      </c>
      <c r="CO9" s="83">
        <f t="shared" si="8"/>
        <v>16.409367332561747</v>
      </c>
      <c r="CQ9" s="47">
        <f t="shared" si="9"/>
        <v>0</v>
      </c>
      <c r="CR9" s="47">
        <f t="shared" si="10"/>
        <v>0</v>
      </c>
      <c r="CS9" s="47">
        <f t="shared" si="11"/>
        <v>0</v>
      </c>
      <c r="CT9" s="47">
        <f t="shared" si="12"/>
        <v>204.54910010733013</v>
      </c>
      <c r="CU9" s="47">
        <f t="shared" si="13"/>
        <v>206.00949718361153</v>
      </c>
      <c r="CV9" s="47">
        <f t="shared" si="14"/>
        <v>207.55731200438396</v>
      </c>
      <c r="CW9" s="47">
        <f t="shared" si="15"/>
        <v>208.93158531052001</v>
      </c>
      <c r="CX9" s="47">
        <f t="shared" si="16"/>
        <v>189.20044229391326</v>
      </c>
    </row>
    <row r="10" spans="2:102" x14ac:dyDescent="0.3">
      <c r="B10" s="7"/>
      <c r="C10" s="7"/>
      <c r="D10" s="7"/>
      <c r="E10" s="7"/>
      <c r="F10" s="7"/>
      <c r="G10" s="7"/>
      <c r="H10" s="7"/>
      <c r="I10" s="7"/>
      <c r="J10" s="45"/>
      <c r="K10" s="45"/>
      <c r="L10" s="45"/>
      <c r="M10" s="45"/>
      <c r="N10" s="45"/>
      <c r="O10" s="45"/>
      <c r="P10" s="45"/>
      <c r="Q10" s="45"/>
      <c r="S10" s="47"/>
      <c r="T10" s="47"/>
      <c r="U10" s="47"/>
      <c r="V10" s="47"/>
      <c r="W10" s="47"/>
      <c r="X10" s="47"/>
      <c r="Y10" s="47"/>
      <c r="Z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Y10" s="47"/>
      <c r="BZ10" s="47"/>
      <c r="CA10" s="47"/>
      <c r="CB10" s="47"/>
      <c r="CC10" s="47"/>
      <c r="CD10" s="47"/>
      <c r="CE10" s="47"/>
      <c r="CF10" s="47"/>
      <c r="CH10" s="83"/>
      <c r="CI10" s="83"/>
      <c r="CJ10" s="83"/>
      <c r="CK10" s="83"/>
      <c r="CL10" s="83"/>
      <c r="CM10" s="83"/>
      <c r="CN10" s="83"/>
      <c r="CO10" s="83"/>
      <c r="CQ10" s="47">
        <f t="shared" ref="CQ10:CQ36" si="25">S10+AG10+BY10+CH10</f>
        <v>0</v>
      </c>
      <c r="CR10" s="47">
        <f t="shared" ref="CR10:CR36" si="26">T10+AM10+BZ10+CI10</f>
        <v>0</v>
      </c>
      <c r="CS10" s="47">
        <f t="shared" ref="CS10:CS36" si="27">U10+AS10+CA10+CJ10</f>
        <v>0</v>
      </c>
      <c r="CT10" s="47">
        <f t="shared" ref="CT10:CT36" si="28">V10+AY10+CB10+CK10</f>
        <v>0</v>
      </c>
      <c r="CU10" s="47">
        <f t="shared" ref="CU10:CU36" si="29">W10+BE10+CC10+CL10</f>
        <v>0</v>
      </c>
      <c r="CV10" s="47">
        <f t="shared" ref="CV10:CV36" si="30">X10+BK10+CD10+CM10</f>
        <v>0</v>
      </c>
      <c r="CW10" s="47">
        <f t="shared" ref="CW10:CW36" si="31">Y10+BQ10+CE10+CN10</f>
        <v>0</v>
      </c>
      <c r="CX10" s="47">
        <f t="shared" ref="CX10:CX36" si="32">Z10+BW10+CF10+CO10</f>
        <v>0</v>
      </c>
    </row>
    <row r="11" spans="2:102" x14ac:dyDescent="0.3">
      <c r="B11" s="7"/>
      <c r="C11" s="7"/>
      <c r="D11" s="7"/>
      <c r="E11" s="7"/>
      <c r="F11" s="7"/>
      <c r="G11" s="7"/>
      <c r="H11" s="7"/>
      <c r="I11" s="7"/>
      <c r="J11" s="45"/>
      <c r="K11" s="45"/>
      <c r="L11" s="45"/>
      <c r="M11" s="45"/>
      <c r="N11" s="45"/>
      <c r="O11" s="45"/>
      <c r="P11" s="45"/>
      <c r="Q11" s="45"/>
      <c r="S11" s="47"/>
      <c r="T11" s="47"/>
      <c r="U11" s="47"/>
      <c r="V11" s="47"/>
      <c r="W11" s="47"/>
      <c r="X11" s="47"/>
      <c r="Y11" s="47"/>
      <c r="Z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Y11" s="47"/>
      <c r="BZ11" s="47"/>
      <c r="CA11" s="47"/>
      <c r="CB11" s="47"/>
      <c r="CC11" s="47"/>
      <c r="CD11" s="47"/>
      <c r="CE11" s="47"/>
      <c r="CF11" s="47"/>
      <c r="CH11" s="83"/>
      <c r="CI11" s="83"/>
      <c r="CJ11" s="83"/>
      <c r="CK11" s="83"/>
      <c r="CL11" s="83"/>
      <c r="CM11" s="83"/>
      <c r="CN11" s="83"/>
      <c r="CO11" s="83"/>
      <c r="CQ11" s="47">
        <f t="shared" si="25"/>
        <v>0</v>
      </c>
      <c r="CR11" s="47">
        <f t="shared" si="26"/>
        <v>0</v>
      </c>
      <c r="CS11" s="47">
        <f t="shared" si="27"/>
        <v>0</v>
      </c>
      <c r="CT11" s="47">
        <f t="shared" si="28"/>
        <v>0</v>
      </c>
      <c r="CU11" s="47">
        <f t="shared" si="29"/>
        <v>0</v>
      </c>
      <c r="CV11" s="47">
        <f t="shared" si="30"/>
        <v>0</v>
      </c>
      <c r="CW11" s="47">
        <f t="shared" si="31"/>
        <v>0</v>
      </c>
      <c r="CX11" s="47">
        <f t="shared" si="32"/>
        <v>0</v>
      </c>
    </row>
    <row r="12" spans="2:102" x14ac:dyDescent="0.3">
      <c r="B12" s="7"/>
      <c r="C12" s="7"/>
      <c r="D12" s="7"/>
      <c r="E12" s="7"/>
      <c r="F12" s="7"/>
      <c r="G12" s="7"/>
      <c r="H12" s="7"/>
      <c r="I12" s="7"/>
      <c r="J12" s="45"/>
      <c r="K12" s="45"/>
      <c r="L12" s="45"/>
      <c r="M12" s="45"/>
      <c r="N12" s="45"/>
      <c r="O12" s="45"/>
      <c r="P12" s="45"/>
      <c r="Q12" s="45"/>
      <c r="S12" s="47"/>
      <c r="T12" s="47"/>
      <c r="U12" s="47"/>
      <c r="V12" s="47"/>
      <c r="W12" s="47"/>
      <c r="X12" s="47"/>
      <c r="Y12" s="47"/>
      <c r="Z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Y12" s="47"/>
      <c r="BZ12" s="47"/>
      <c r="CA12" s="47"/>
      <c r="CB12" s="47"/>
      <c r="CC12" s="47"/>
      <c r="CD12" s="47"/>
      <c r="CE12" s="47"/>
      <c r="CF12" s="47"/>
      <c r="CH12" s="83"/>
      <c r="CI12" s="83"/>
      <c r="CJ12" s="83"/>
      <c r="CK12" s="83"/>
      <c r="CL12" s="83"/>
      <c r="CM12" s="83"/>
      <c r="CN12" s="83"/>
      <c r="CO12" s="83"/>
      <c r="CQ12" s="47">
        <f t="shared" si="25"/>
        <v>0</v>
      </c>
      <c r="CR12" s="47">
        <f t="shared" si="26"/>
        <v>0</v>
      </c>
      <c r="CS12" s="47">
        <f t="shared" si="27"/>
        <v>0</v>
      </c>
      <c r="CT12" s="47">
        <f t="shared" si="28"/>
        <v>0</v>
      </c>
      <c r="CU12" s="47">
        <f t="shared" si="29"/>
        <v>0</v>
      </c>
      <c r="CV12" s="47">
        <f t="shared" si="30"/>
        <v>0</v>
      </c>
      <c r="CW12" s="47">
        <f t="shared" si="31"/>
        <v>0</v>
      </c>
      <c r="CX12" s="47">
        <f t="shared" si="32"/>
        <v>0</v>
      </c>
    </row>
    <row r="13" spans="2:102" x14ac:dyDescent="0.3">
      <c r="B13" s="7"/>
      <c r="C13" s="7"/>
      <c r="D13" s="7"/>
      <c r="E13" s="7"/>
      <c r="F13" s="7"/>
      <c r="G13" s="7"/>
      <c r="H13" s="7"/>
      <c r="I13" s="7"/>
      <c r="J13" s="45"/>
      <c r="K13" s="45"/>
      <c r="L13" s="45"/>
      <c r="M13" s="45"/>
      <c r="N13" s="45"/>
      <c r="O13" s="45"/>
      <c r="P13" s="45"/>
      <c r="Q13" s="45"/>
      <c r="S13" s="47"/>
      <c r="T13" s="47"/>
      <c r="U13" s="47"/>
      <c r="V13" s="47"/>
      <c r="W13" s="47"/>
      <c r="X13" s="47"/>
      <c r="Y13" s="47"/>
      <c r="Z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Y13" s="47"/>
      <c r="BZ13" s="47"/>
      <c r="CA13" s="47"/>
      <c r="CB13" s="47"/>
      <c r="CC13" s="47"/>
      <c r="CD13" s="47"/>
      <c r="CE13" s="47"/>
      <c r="CF13" s="47"/>
      <c r="CH13" s="83"/>
      <c r="CI13" s="83"/>
      <c r="CJ13" s="83"/>
      <c r="CK13" s="83"/>
      <c r="CL13" s="83"/>
      <c r="CM13" s="83"/>
      <c r="CN13" s="83"/>
      <c r="CO13" s="83"/>
      <c r="CQ13" s="47">
        <f t="shared" si="25"/>
        <v>0</v>
      </c>
      <c r="CR13" s="47">
        <f t="shared" si="26"/>
        <v>0</v>
      </c>
      <c r="CS13" s="47">
        <f t="shared" si="27"/>
        <v>0</v>
      </c>
      <c r="CT13" s="47">
        <f t="shared" si="28"/>
        <v>0</v>
      </c>
      <c r="CU13" s="47">
        <f t="shared" si="29"/>
        <v>0</v>
      </c>
      <c r="CV13" s="47">
        <f t="shared" si="30"/>
        <v>0</v>
      </c>
      <c r="CW13" s="47">
        <f t="shared" si="31"/>
        <v>0</v>
      </c>
      <c r="CX13" s="47">
        <f t="shared" si="32"/>
        <v>0</v>
      </c>
    </row>
    <row r="14" spans="2:102" x14ac:dyDescent="0.3">
      <c r="B14" s="7"/>
      <c r="C14" s="7"/>
      <c r="D14" s="7"/>
      <c r="E14" s="7"/>
      <c r="F14" s="7"/>
      <c r="G14" s="7"/>
      <c r="H14" s="7"/>
      <c r="I14" s="7"/>
      <c r="J14" s="45"/>
      <c r="K14" s="45"/>
      <c r="L14" s="45"/>
      <c r="M14" s="45"/>
      <c r="N14" s="45"/>
      <c r="O14" s="45"/>
      <c r="P14" s="45"/>
      <c r="Q14" s="45"/>
      <c r="S14" s="47"/>
      <c r="T14" s="47"/>
      <c r="U14" s="47"/>
      <c r="V14" s="47"/>
      <c r="W14" s="47"/>
      <c r="X14" s="47"/>
      <c r="Y14" s="47"/>
      <c r="Z14" s="47"/>
      <c r="AB14" s="6"/>
      <c r="AC14" s="6"/>
      <c r="AD14" s="6"/>
      <c r="AE14" s="6"/>
      <c r="AF14" s="6"/>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Y14" s="47"/>
      <c r="BZ14" s="47"/>
      <c r="CA14" s="47"/>
      <c r="CB14" s="47"/>
      <c r="CC14" s="47"/>
      <c r="CD14" s="47"/>
      <c r="CE14" s="47"/>
      <c r="CF14" s="47"/>
      <c r="CH14" s="83"/>
      <c r="CI14" s="83"/>
      <c r="CJ14" s="83"/>
      <c r="CK14" s="83"/>
      <c r="CL14" s="83"/>
      <c r="CM14" s="83"/>
      <c r="CN14" s="83"/>
      <c r="CO14" s="83"/>
      <c r="CQ14" s="47">
        <f t="shared" si="25"/>
        <v>0</v>
      </c>
      <c r="CR14" s="47">
        <f t="shared" si="26"/>
        <v>0</v>
      </c>
      <c r="CS14" s="47">
        <f t="shared" si="27"/>
        <v>0</v>
      </c>
      <c r="CT14" s="47">
        <f t="shared" si="28"/>
        <v>0</v>
      </c>
      <c r="CU14" s="47">
        <f t="shared" si="29"/>
        <v>0</v>
      </c>
      <c r="CV14" s="47">
        <f t="shared" si="30"/>
        <v>0</v>
      </c>
      <c r="CW14" s="47">
        <f t="shared" si="31"/>
        <v>0</v>
      </c>
      <c r="CX14" s="47">
        <f t="shared" si="32"/>
        <v>0</v>
      </c>
    </row>
    <row r="15" spans="2:102" x14ac:dyDescent="0.3">
      <c r="B15" s="7"/>
      <c r="C15" s="7"/>
      <c r="D15" s="7"/>
      <c r="E15" s="7"/>
      <c r="F15" s="7"/>
      <c r="G15" s="7"/>
      <c r="H15" s="7"/>
      <c r="I15" s="7"/>
      <c r="J15" s="45"/>
      <c r="K15" s="45"/>
      <c r="L15" s="45"/>
      <c r="M15" s="45"/>
      <c r="N15" s="45"/>
      <c r="O15" s="45"/>
      <c r="P15" s="45"/>
      <c r="Q15" s="45"/>
      <c r="S15" s="47"/>
      <c r="T15" s="47"/>
      <c r="U15" s="47"/>
      <c r="V15" s="47"/>
      <c r="W15" s="47"/>
      <c r="X15" s="47"/>
      <c r="Y15" s="47"/>
      <c r="Z15" s="47"/>
      <c r="AB15" s="6"/>
      <c r="AC15" s="6"/>
      <c r="AD15" s="6"/>
      <c r="AE15" s="6"/>
      <c r="AF15" s="6"/>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Y15" s="47"/>
      <c r="BZ15" s="47"/>
      <c r="CA15" s="47"/>
      <c r="CB15" s="47"/>
      <c r="CC15" s="47"/>
      <c r="CD15" s="47"/>
      <c r="CE15" s="47"/>
      <c r="CF15" s="47"/>
      <c r="CH15" s="83"/>
      <c r="CI15" s="83"/>
      <c r="CJ15" s="83"/>
      <c r="CK15" s="83"/>
      <c r="CL15" s="83"/>
      <c r="CM15" s="83"/>
      <c r="CN15" s="83"/>
      <c r="CO15" s="83"/>
      <c r="CQ15" s="47">
        <f t="shared" si="25"/>
        <v>0</v>
      </c>
      <c r="CR15" s="47">
        <f t="shared" si="26"/>
        <v>0</v>
      </c>
      <c r="CS15" s="47">
        <f t="shared" si="27"/>
        <v>0</v>
      </c>
      <c r="CT15" s="47">
        <f t="shared" si="28"/>
        <v>0</v>
      </c>
      <c r="CU15" s="47">
        <f t="shared" si="29"/>
        <v>0</v>
      </c>
      <c r="CV15" s="47">
        <f t="shared" si="30"/>
        <v>0</v>
      </c>
      <c r="CW15" s="47">
        <f t="shared" si="31"/>
        <v>0</v>
      </c>
      <c r="CX15" s="47">
        <f t="shared" si="32"/>
        <v>0</v>
      </c>
    </row>
    <row r="16" spans="2:102"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6"/>
      <c r="AC16" s="6"/>
      <c r="AD16" s="6"/>
      <c r="AE16" s="6"/>
      <c r="AF16" s="6"/>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Y16" s="47"/>
      <c r="BZ16" s="47"/>
      <c r="CA16" s="47"/>
      <c r="CB16" s="47"/>
      <c r="CC16" s="47"/>
      <c r="CD16" s="47"/>
      <c r="CE16" s="47"/>
      <c r="CF16" s="47"/>
      <c r="CH16" s="83"/>
      <c r="CI16" s="83"/>
      <c r="CJ16" s="83"/>
      <c r="CK16" s="83"/>
      <c r="CL16" s="83"/>
      <c r="CM16" s="83"/>
      <c r="CN16" s="83"/>
      <c r="CO16" s="83"/>
      <c r="CQ16" s="47">
        <f t="shared" si="25"/>
        <v>0</v>
      </c>
      <c r="CR16" s="47">
        <f t="shared" si="26"/>
        <v>0</v>
      </c>
      <c r="CS16" s="47">
        <f t="shared" si="27"/>
        <v>0</v>
      </c>
      <c r="CT16" s="47">
        <f t="shared" si="28"/>
        <v>0</v>
      </c>
      <c r="CU16" s="47">
        <f t="shared" si="29"/>
        <v>0</v>
      </c>
      <c r="CV16" s="47">
        <f t="shared" si="30"/>
        <v>0</v>
      </c>
      <c r="CW16" s="47">
        <f t="shared" si="31"/>
        <v>0</v>
      </c>
      <c r="CX16" s="47">
        <f t="shared" si="32"/>
        <v>0</v>
      </c>
    </row>
    <row r="17" spans="2:102" x14ac:dyDescent="0.3">
      <c r="B17" s="7"/>
      <c r="C17" s="7"/>
      <c r="D17" s="7"/>
      <c r="E17" s="7"/>
      <c r="F17" s="7"/>
      <c r="G17" s="7"/>
      <c r="H17" s="7"/>
      <c r="I17" s="7"/>
      <c r="J17" s="45"/>
      <c r="K17" s="45"/>
      <c r="L17" s="45"/>
      <c r="M17" s="45"/>
      <c r="N17" s="45"/>
      <c r="O17" s="45"/>
      <c r="P17" s="45"/>
      <c r="Q17" s="45"/>
      <c r="S17" s="47"/>
      <c r="T17" s="47"/>
      <c r="U17" s="47"/>
      <c r="V17" s="47"/>
      <c r="W17" s="47"/>
      <c r="X17" s="47"/>
      <c r="Y17" s="47"/>
      <c r="Z17" s="47"/>
      <c r="AB17" s="6"/>
      <c r="AC17" s="6"/>
      <c r="AD17" s="6"/>
      <c r="AE17" s="6"/>
      <c r="AF17" s="6"/>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Y17" s="47"/>
      <c r="BZ17" s="47"/>
      <c r="CA17" s="47"/>
      <c r="CB17" s="47"/>
      <c r="CC17" s="47"/>
      <c r="CD17" s="47"/>
      <c r="CE17" s="47"/>
      <c r="CF17" s="47"/>
      <c r="CH17" s="83"/>
      <c r="CI17" s="83"/>
      <c r="CJ17" s="83"/>
      <c r="CK17" s="83"/>
      <c r="CL17" s="83"/>
      <c r="CM17" s="83"/>
      <c r="CN17" s="83"/>
      <c r="CO17" s="83"/>
      <c r="CQ17" s="47">
        <f t="shared" si="25"/>
        <v>0</v>
      </c>
      <c r="CR17" s="47">
        <f t="shared" si="26"/>
        <v>0</v>
      </c>
      <c r="CS17" s="47">
        <f t="shared" si="27"/>
        <v>0</v>
      </c>
      <c r="CT17" s="47">
        <f t="shared" si="28"/>
        <v>0</v>
      </c>
      <c r="CU17" s="47">
        <f t="shared" si="29"/>
        <v>0</v>
      </c>
      <c r="CV17" s="47">
        <f t="shared" si="30"/>
        <v>0</v>
      </c>
      <c r="CW17" s="47">
        <f t="shared" si="31"/>
        <v>0</v>
      </c>
      <c r="CX17" s="47">
        <f t="shared" si="32"/>
        <v>0</v>
      </c>
    </row>
    <row r="18" spans="2:102" x14ac:dyDescent="0.3">
      <c r="B18" s="7"/>
      <c r="C18" s="7"/>
      <c r="D18" s="7"/>
      <c r="E18" s="7"/>
      <c r="F18" s="7"/>
      <c r="G18" s="7"/>
      <c r="H18" s="7"/>
      <c r="I18" s="7"/>
      <c r="J18" s="45"/>
      <c r="K18" s="45"/>
      <c r="L18" s="45"/>
      <c r="M18" s="45"/>
      <c r="N18" s="45"/>
      <c r="O18" s="45"/>
      <c r="P18" s="45"/>
      <c r="Q18" s="45"/>
      <c r="S18" s="47"/>
      <c r="T18" s="47"/>
      <c r="U18" s="47"/>
      <c r="V18" s="47"/>
      <c r="W18" s="47"/>
      <c r="X18" s="47"/>
      <c r="Y18" s="47"/>
      <c r="Z18" s="47"/>
      <c r="AB18" s="6"/>
      <c r="AC18" s="6"/>
      <c r="AD18" s="6"/>
      <c r="AE18" s="6"/>
      <c r="AF18" s="6"/>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Y18" s="47"/>
      <c r="BZ18" s="47"/>
      <c r="CA18" s="47"/>
      <c r="CB18" s="47"/>
      <c r="CC18" s="47"/>
      <c r="CD18" s="47"/>
      <c r="CE18" s="47"/>
      <c r="CF18" s="47"/>
      <c r="CH18" s="83"/>
      <c r="CI18" s="83"/>
      <c r="CJ18" s="83"/>
      <c r="CK18" s="83"/>
      <c r="CL18" s="83"/>
      <c r="CM18" s="83"/>
      <c r="CN18" s="83"/>
      <c r="CO18" s="83"/>
      <c r="CQ18" s="47">
        <f t="shared" si="25"/>
        <v>0</v>
      </c>
      <c r="CR18" s="47">
        <f t="shared" si="26"/>
        <v>0</v>
      </c>
      <c r="CS18" s="47">
        <f t="shared" si="27"/>
        <v>0</v>
      </c>
      <c r="CT18" s="47">
        <f t="shared" si="28"/>
        <v>0</v>
      </c>
      <c r="CU18" s="47">
        <f t="shared" si="29"/>
        <v>0</v>
      </c>
      <c r="CV18" s="47">
        <f t="shared" si="30"/>
        <v>0</v>
      </c>
      <c r="CW18" s="47">
        <f t="shared" si="31"/>
        <v>0</v>
      </c>
      <c r="CX18" s="47">
        <f t="shared" si="32"/>
        <v>0</v>
      </c>
    </row>
    <row r="19" spans="2:102" x14ac:dyDescent="0.3">
      <c r="B19" s="7"/>
      <c r="C19" s="7"/>
      <c r="D19" s="7"/>
      <c r="E19" s="7"/>
      <c r="F19" s="7"/>
      <c r="G19" s="7"/>
      <c r="H19" s="7"/>
      <c r="I19" s="7"/>
      <c r="J19" s="45"/>
      <c r="K19" s="45"/>
      <c r="L19" s="45"/>
      <c r="M19" s="45"/>
      <c r="N19" s="45"/>
      <c r="O19" s="45"/>
      <c r="P19" s="45"/>
      <c r="Q19" s="45"/>
      <c r="S19" s="47"/>
      <c r="T19" s="47"/>
      <c r="U19" s="47"/>
      <c r="V19" s="47"/>
      <c r="W19" s="47"/>
      <c r="X19" s="47"/>
      <c r="Y19" s="47"/>
      <c r="Z19" s="47"/>
      <c r="AB19" s="6"/>
      <c r="AC19" s="6"/>
      <c r="AD19" s="6"/>
      <c r="AE19" s="6"/>
      <c r="AF19" s="6"/>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Y19" s="47"/>
      <c r="BZ19" s="47"/>
      <c r="CA19" s="47"/>
      <c r="CB19" s="47"/>
      <c r="CC19" s="47"/>
      <c r="CD19" s="47"/>
      <c r="CE19" s="47"/>
      <c r="CF19" s="47"/>
      <c r="CH19" s="83"/>
      <c r="CI19" s="83"/>
      <c r="CJ19" s="83"/>
      <c r="CK19" s="83"/>
      <c r="CL19" s="83"/>
      <c r="CM19" s="83"/>
      <c r="CN19" s="83"/>
      <c r="CO19" s="83"/>
      <c r="CQ19" s="47">
        <f t="shared" si="25"/>
        <v>0</v>
      </c>
      <c r="CR19" s="47">
        <f t="shared" si="26"/>
        <v>0</v>
      </c>
      <c r="CS19" s="47">
        <f t="shared" si="27"/>
        <v>0</v>
      </c>
      <c r="CT19" s="47">
        <f t="shared" si="28"/>
        <v>0</v>
      </c>
      <c r="CU19" s="47">
        <f t="shared" si="29"/>
        <v>0</v>
      </c>
      <c r="CV19" s="47">
        <f t="shared" si="30"/>
        <v>0</v>
      </c>
      <c r="CW19" s="47">
        <f t="shared" si="31"/>
        <v>0</v>
      </c>
      <c r="CX19" s="47">
        <f t="shared" si="32"/>
        <v>0</v>
      </c>
    </row>
    <row r="20" spans="2:102" x14ac:dyDescent="0.3">
      <c r="B20" s="7"/>
      <c r="C20" s="7"/>
      <c r="D20" s="7"/>
      <c r="E20" s="7"/>
      <c r="F20" s="7"/>
      <c r="G20" s="7"/>
      <c r="H20" s="7"/>
      <c r="I20" s="7"/>
      <c r="J20" s="45"/>
      <c r="K20" s="45"/>
      <c r="L20" s="45"/>
      <c r="M20" s="45"/>
      <c r="N20" s="45"/>
      <c r="O20" s="45"/>
      <c r="P20" s="45"/>
      <c r="Q20" s="45"/>
      <c r="S20" s="47"/>
      <c r="T20" s="47"/>
      <c r="U20" s="47"/>
      <c r="V20" s="47"/>
      <c r="W20" s="47"/>
      <c r="X20" s="47"/>
      <c r="Y20" s="47"/>
      <c r="Z20" s="47"/>
      <c r="AB20" s="6"/>
      <c r="AC20" s="6"/>
      <c r="AD20" s="6"/>
      <c r="AE20" s="6"/>
      <c r="AF20" s="6"/>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Y20" s="47"/>
      <c r="BZ20" s="47"/>
      <c r="CA20" s="47"/>
      <c r="CB20" s="47"/>
      <c r="CC20" s="47"/>
      <c r="CD20" s="47"/>
      <c r="CE20" s="47"/>
      <c r="CF20" s="47"/>
      <c r="CH20" s="47"/>
      <c r="CI20" s="47"/>
      <c r="CJ20" s="47"/>
      <c r="CK20" s="47"/>
      <c r="CL20" s="47"/>
      <c r="CM20" s="47"/>
      <c r="CN20" s="47"/>
      <c r="CO20" s="47"/>
      <c r="CQ20" s="47">
        <f t="shared" si="25"/>
        <v>0</v>
      </c>
      <c r="CR20" s="47">
        <f t="shared" si="26"/>
        <v>0</v>
      </c>
      <c r="CS20" s="47">
        <f t="shared" si="27"/>
        <v>0</v>
      </c>
      <c r="CT20" s="47">
        <f t="shared" si="28"/>
        <v>0</v>
      </c>
      <c r="CU20" s="47">
        <f t="shared" si="29"/>
        <v>0</v>
      </c>
      <c r="CV20" s="47">
        <f t="shared" si="30"/>
        <v>0</v>
      </c>
      <c r="CW20" s="47">
        <f t="shared" si="31"/>
        <v>0</v>
      </c>
      <c r="CX20" s="47">
        <f t="shared" si="32"/>
        <v>0</v>
      </c>
    </row>
    <row r="21" spans="2:102" x14ac:dyDescent="0.3">
      <c r="B21" s="7"/>
      <c r="C21" s="7"/>
      <c r="D21" s="7"/>
      <c r="E21" s="7"/>
      <c r="F21" s="7"/>
      <c r="G21" s="7"/>
      <c r="H21" s="7"/>
      <c r="I21" s="7"/>
      <c r="J21" s="45"/>
      <c r="K21" s="45"/>
      <c r="L21" s="45"/>
      <c r="M21" s="45"/>
      <c r="N21" s="45"/>
      <c r="O21" s="45"/>
      <c r="P21" s="45"/>
      <c r="Q21" s="45"/>
      <c r="S21" s="47"/>
      <c r="T21" s="47"/>
      <c r="U21" s="47"/>
      <c r="V21" s="47"/>
      <c r="W21" s="47"/>
      <c r="X21" s="47"/>
      <c r="Y21" s="47"/>
      <c r="Z21" s="47"/>
      <c r="AB21" s="6"/>
      <c r="AC21" s="6"/>
      <c r="AD21" s="6"/>
      <c r="AE21" s="6"/>
      <c r="AF21" s="6"/>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Y21" s="47"/>
      <c r="BZ21" s="47"/>
      <c r="CA21" s="47"/>
      <c r="CB21" s="47"/>
      <c r="CC21" s="47"/>
      <c r="CD21" s="47"/>
      <c r="CE21" s="47"/>
      <c r="CF21" s="47"/>
      <c r="CH21" s="47"/>
      <c r="CI21" s="47"/>
      <c r="CJ21" s="47"/>
      <c r="CK21" s="47"/>
      <c r="CL21" s="47"/>
      <c r="CM21" s="47"/>
      <c r="CN21" s="47"/>
      <c r="CO21" s="47"/>
      <c r="CQ21" s="47">
        <f t="shared" si="25"/>
        <v>0</v>
      </c>
      <c r="CR21" s="47">
        <f t="shared" si="26"/>
        <v>0</v>
      </c>
      <c r="CS21" s="47">
        <f t="shared" si="27"/>
        <v>0</v>
      </c>
      <c r="CT21" s="47">
        <f t="shared" si="28"/>
        <v>0</v>
      </c>
      <c r="CU21" s="47">
        <f t="shared" si="29"/>
        <v>0</v>
      </c>
      <c r="CV21" s="47">
        <f t="shared" si="30"/>
        <v>0</v>
      </c>
      <c r="CW21" s="47">
        <f t="shared" si="31"/>
        <v>0</v>
      </c>
      <c r="CX21" s="47">
        <f t="shared" si="32"/>
        <v>0</v>
      </c>
    </row>
    <row r="22" spans="2:102"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6"/>
      <c r="AC22" s="6"/>
      <c r="AD22" s="6"/>
      <c r="AE22" s="6"/>
      <c r="AF22" s="6"/>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Y22" s="47"/>
      <c r="BZ22" s="47"/>
      <c r="CA22" s="47"/>
      <c r="CB22" s="47"/>
      <c r="CC22" s="47"/>
      <c r="CD22" s="47"/>
      <c r="CE22" s="47"/>
      <c r="CF22" s="47"/>
      <c r="CH22" s="47"/>
      <c r="CI22" s="47"/>
      <c r="CJ22" s="47"/>
      <c r="CK22" s="47"/>
      <c r="CL22" s="47"/>
      <c r="CM22" s="47"/>
      <c r="CN22" s="47"/>
      <c r="CO22" s="47"/>
      <c r="CQ22" s="47">
        <f t="shared" si="25"/>
        <v>0</v>
      </c>
      <c r="CR22" s="47">
        <f t="shared" si="26"/>
        <v>0</v>
      </c>
      <c r="CS22" s="47">
        <f t="shared" si="27"/>
        <v>0</v>
      </c>
      <c r="CT22" s="47">
        <f t="shared" si="28"/>
        <v>0</v>
      </c>
      <c r="CU22" s="47">
        <f t="shared" si="29"/>
        <v>0</v>
      </c>
      <c r="CV22" s="47">
        <f t="shared" si="30"/>
        <v>0</v>
      </c>
      <c r="CW22" s="47">
        <f t="shared" si="31"/>
        <v>0</v>
      </c>
      <c r="CX22" s="47">
        <f t="shared" si="32"/>
        <v>0</v>
      </c>
    </row>
    <row r="23" spans="2:102"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6"/>
      <c r="AC23" s="6"/>
      <c r="AD23" s="6"/>
      <c r="AE23" s="6"/>
      <c r="AF23" s="6"/>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Y23" s="47"/>
      <c r="BZ23" s="47"/>
      <c r="CA23" s="47"/>
      <c r="CB23" s="47"/>
      <c r="CC23" s="47"/>
      <c r="CD23" s="47"/>
      <c r="CE23" s="47"/>
      <c r="CF23" s="47"/>
      <c r="CH23" s="47"/>
      <c r="CI23" s="47"/>
      <c r="CJ23" s="47"/>
      <c r="CK23" s="47"/>
      <c r="CL23" s="47"/>
      <c r="CM23" s="47"/>
      <c r="CN23" s="47"/>
      <c r="CO23" s="47"/>
      <c r="CQ23" s="47">
        <f t="shared" si="25"/>
        <v>0</v>
      </c>
      <c r="CR23" s="47">
        <f t="shared" si="26"/>
        <v>0</v>
      </c>
      <c r="CS23" s="47">
        <f t="shared" si="27"/>
        <v>0</v>
      </c>
      <c r="CT23" s="47">
        <f t="shared" si="28"/>
        <v>0</v>
      </c>
      <c r="CU23" s="47">
        <f t="shared" si="29"/>
        <v>0</v>
      </c>
      <c r="CV23" s="47">
        <f t="shared" si="30"/>
        <v>0</v>
      </c>
      <c r="CW23" s="47">
        <f t="shared" si="31"/>
        <v>0</v>
      </c>
      <c r="CX23" s="47">
        <f t="shared" si="32"/>
        <v>0</v>
      </c>
    </row>
    <row r="24" spans="2:102"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6"/>
      <c r="AC24" s="6"/>
      <c r="AD24" s="6"/>
      <c r="AE24" s="6"/>
      <c r="AF24" s="6"/>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Y24" s="47"/>
      <c r="BZ24" s="47"/>
      <c r="CA24" s="47"/>
      <c r="CB24" s="47"/>
      <c r="CC24" s="47"/>
      <c r="CD24" s="47"/>
      <c r="CE24" s="47"/>
      <c r="CF24" s="47"/>
      <c r="CH24" s="47"/>
      <c r="CI24" s="47"/>
      <c r="CJ24" s="47"/>
      <c r="CK24" s="47"/>
      <c r="CL24" s="47"/>
      <c r="CM24" s="47"/>
      <c r="CN24" s="47"/>
      <c r="CO24" s="47"/>
      <c r="CQ24" s="47">
        <f t="shared" si="25"/>
        <v>0</v>
      </c>
      <c r="CR24" s="47">
        <f t="shared" si="26"/>
        <v>0</v>
      </c>
      <c r="CS24" s="47">
        <f t="shared" si="27"/>
        <v>0</v>
      </c>
      <c r="CT24" s="47">
        <f t="shared" si="28"/>
        <v>0</v>
      </c>
      <c r="CU24" s="47">
        <f t="shared" si="29"/>
        <v>0</v>
      </c>
      <c r="CV24" s="47">
        <f t="shared" si="30"/>
        <v>0</v>
      </c>
      <c r="CW24" s="47">
        <f t="shared" si="31"/>
        <v>0</v>
      </c>
      <c r="CX24" s="47">
        <f t="shared" si="32"/>
        <v>0</v>
      </c>
    </row>
    <row r="25" spans="2:102"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6"/>
      <c r="AC25" s="6"/>
      <c r="AD25" s="6"/>
      <c r="AE25" s="6"/>
      <c r="AF25" s="6"/>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Y25" s="47"/>
      <c r="BZ25" s="47"/>
      <c r="CA25" s="47"/>
      <c r="CB25" s="47"/>
      <c r="CC25" s="47"/>
      <c r="CD25" s="47"/>
      <c r="CE25" s="47"/>
      <c r="CF25" s="47"/>
      <c r="CH25" s="47"/>
      <c r="CI25" s="47"/>
      <c r="CJ25" s="47"/>
      <c r="CK25" s="47"/>
      <c r="CL25" s="47"/>
      <c r="CM25" s="47"/>
      <c r="CN25" s="47"/>
      <c r="CO25" s="47"/>
      <c r="CQ25" s="47">
        <f t="shared" si="25"/>
        <v>0</v>
      </c>
      <c r="CR25" s="47">
        <f t="shared" si="26"/>
        <v>0</v>
      </c>
      <c r="CS25" s="47">
        <f t="shared" si="27"/>
        <v>0</v>
      </c>
      <c r="CT25" s="47">
        <f t="shared" si="28"/>
        <v>0</v>
      </c>
      <c r="CU25" s="47">
        <f t="shared" si="29"/>
        <v>0</v>
      </c>
      <c r="CV25" s="47">
        <f t="shared" si="30"/>
        <v>0</v>
      </c>
      <c r="CW25" s="47">
        <f t="shared" si="31"/>
        <v>0</v>
      </c>
      <c r="CX25" s="47">
        <f t="shared" si="32"/>
        <v>0</v>
      </c>
    </row>
    <row r="26" spans="2:102"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6"/>
      <c r="AC26" s="6"/>
      <c r="AD26" s="6"/>
      <c r="AE26" s="6"/>
      <c r="AF26" s="6"/>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Y26" s="47"/>
      <c r="BZ26" s="47"/>
      <c r="CA26" s="47"/>
      <c r="CB26" s="47"/>
      <c r="CC26" s="47"/>
      <c r="CD26" s="47"/>
      <c r="CE26" s="47"/>
      <c r="CF26" s="47"/>
      <c r="CH26" s="47"/>
      <c r="CI26" s="47"/>
      <c r="CJ26" s="47"/>
      <c r="CK26" s="47"/>
      <c r="CL26" s="47"/>
      <c r="CM26" s="47"/>
      <c r="CN26" s="47"/>
      <c r="CO26" s="47"/>
      <c r="CQ26" s="47">
        <f t="shared" si="25"/>
        <v>0</v>
      </c>
      <c r="CR26" s="47">
        <f t="shared" si="26"/>
        <v>0</v>
      </c>
      <c r="CS26" s="47">
        <f t="shared" si="27"/>
        <v>0</v>
      </c>
      <c r="CT26" s="47">
        <f t="shared" si="28"/>
        <v>0</v>
      </c>
      <c r="CU26" s="47">
        <f t="shared" si="29"/>
        <v>0</v>
      </c>
      <c r="CV26" s="47">
        <f t="shared" si="30"/>
        <v>0</v>
      </c>
      <c r="CW26" s="47">
        <f t="shared" si="31"/>
        <v>0</v>
      </c>
      <c r="CX26" s="47">
        <f t="shared" si="32"/>
        <v>0</v>
      </c>
    </row>
    <row r="27" spans="2:102"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6"/>
      <c r="AC27" s="6"/>
      <c r="AD27" s="6"/>
      <c r="AE27" s="6"/>
      <c r="AF27" s="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Y27" s="47"/>
      <c r="BZ27" s="47"/>
      <c r="CA27" s="47"/>
      <c r="CB27" s="47"/>
      <c r="CC27" s="47"/>
      <c r="CD27" s="47"/>
      <c r="CE27" s="47"/>
      <c r="CF27" s="47"/>
      <c r="CH27" s="47"/>
      <c r="CI27" s="47"/>
      <c r="CJ27" s="47"/>
      <c r="CK27" s="47"/>
      <c r="CL27" s="47"/>
      <c r="CM27" s="47"/>
      <c r="CN27" s="47"/>
      <c r="CO27" s="47"/>
      <c r="CQ27" s="47">
        <f t="shared" si="25"/>
        <v>0</v>
      </c>
      <c r="CR27" s="47">
        <f t="shared" si="26"/>
        <v>0</v>
      </c>
      <c r="CS27" s="47">
        <f t="shared" si="27"/>
        <v>0</v>
      </c>
      <c r="CT27" s="47">
        <f t="shared" si="28"/>
        <v>0</v>
      </c>
      <c r="CU27" s="47">
        <f t="shared" si="29"/>
        <v>0</v>
      </c>
      <c r="CV27" s="47">
        <f t="shared" si="30"/>
        <v>0</v>
      </c>
      <c r="CW27" s="47">
        <f t="shared" si="31"/>
        <v>0</v>
      </c>
      <c r="CX27" s="47">
        <f t="shared" si="32"/>
        <v>0</v>
      </c>
    </row>
    <row r="28" spans="2:102"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6"/>
      <c r="AC28" s="6"/>
      <c r="AD28" s="6"/>
      <c r="AE28" s="6"/>
      <c r="AF28" s="6"/>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Y28" s="47"/>
      <c r="BZ28" s="47"/>
      <c r="CA28" s="47"/>
      <c r="CB28" s="47"/>
      <c r="CC28" s="47"/>
      <c r="CD28" s="47"/>
      <c r="CE28" s="47"/>
      <c r="CF28" s="47"/>
      <c r="CH28" s="47"/>
      <c r="CI28" s="47"/>
      <c r="CJ28" s="47"/>
      <c r="CK28" s="47"/>
      <c r="CL28" s="47"/>
      <c r="CM28" s="47"/>
      <c r="CN28" s="47"/>
      <c r="CO28" s="47"/>
      <c r="CQ28" s="47">
        <f t="shared" si="25"/>
        <v>0</v>
      </c>
      <c r="CR28" s="47">
        <f t="shared" si="26"/>
        <v>0</v>
      </c>
      <c r="CS28" s="47">
        <f t="shared" si="27"/>
        <v>0</v>
      </c>
      <c r="CT28" s="47">
        <f t="shared" si="28"/>
        <v>0</v>
      </c>
      <c r="CU28" s="47">
        <f t="shared" si="29"/>
        <v>0</v>
      </c>
      <c r="CV28" s="47">
        <f t="shared" si="30"/>
        <v>0</v>
      </c>
      <c r="CW28" s="47">
        <f t="shared" si="31"/>
        <v>0</v>
      </c>
      <c r="CX28" s="47">
        <f t="shared" si="32"/>
        <v>0</v>
      </c>
    </row>
    <row r="29" spans="2:102"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6"/>
      <c r="AC29" s="6"/>
      <c r="AD29" s="6"/>
      <c r="AE29" s="6"/>
      <c r="AF29" s="6"/>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Y29" s="47"/>
      <c r="BZ29" s="47"/>
      <c r="CA29" s="47"/>
      <c r="CB29" s="47"/>
      <c r="CC29" s="47"/>
      <c r="CD29" s="47"/>
      <c r="CE29" s="47"/>
      <c r="CF29" s="47"/>
      <c r="CH29" s="47"/>
      <c r="CI29" s="47"/>
      <c r="CJ29" s="47"/>
      <c r="CK29" s="47"/>
      <c r="CL29" s="47"/>
      <c r="CM29" s="47"/>
      <c r="CN29" s="47"/>
      <c r="CO29" s="47"/>
      <c r="CQ29" s="47">
        <f t="shared" si="25"/>
        <v>0</v>
      </c>
      <c r="CR29" s="47">
        <f t="shared" si="26"/>
        <v>0</v>
      </c>
      <c r="CS29" s="47">
        <f t="shared" si="27"/>
        <v>0</v>
      </c>
      <c r="CT29" s="47">
        <f t="shared" si="28"/>
        <v>0</v>
      </c>
      <c r="CU29" s="47">
        <f t="shared" si="29"/>
        <v>0</v>
      </c>
      <c r="CV29" s="47">
        <f t="shared" si="30"/>
        <v>0</v>
      </c>
      <c r="CW29" s="47">
        <f t="shared" si="31"/>
        <v>0</v>
      </c>
      <c r="CX29" s="47">
        <f t="shared" si="32"/>
        <v>0</v>
      </c>
    </row>
    <row r="30" spans="2:102"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Y30" s="47"/>
      <c r="BZ30" s="47"/>
      <c r="CA30" s="47"/>
      <c r="CB30" s="47"/>
      <c r="CC30" s="47"/>
      <c r="CD30" s="47"/>
      <c r="CE30" s="47"/>
      <c r="CF30" s="47"/>
      <c r="CH30" s="47"/>
      <c r="CI30" s="47"/>
      <c r="CJ30" s="47"/>
      <c r="CK30" s="47"/>
      <c r="CL30" s="47"/>
      <c r="CM30" s="47"/>
      <c r="CN30" s="47"/>
      <c r="CO30" s="47"/>
      <c r="CQ30" s="47">
        <f t="shared" si="25"/>
        <v>0</v>
      </c>
      <c r="CR30" s="47">
        <f t="shared" si="26"/>
        <v>0</v>
      </c>
      <c r="CS30" s="47">
        <f t="shared" si="27"/>
        <v>0</v>
      </c>
      <c r="CT30" s="47">
        <f t="shared" si="28"/>
        <v>0</v>
      </c>
      <c r="CU30" s="47">
        <f t="shared" si="29"/>
        <v>0</v>
      </c>
      <c r="CV30" s="47">
        <f t="shared" si="30"/>
        <v>0</v>
      </c>
      <c r="CW30" s="47">
        <f t="shared" si="31"/>
        <v>0</v>
      </c>
      <c r="CX30" s="47">
        <f t="shared" si="32"/>
        <v>0</v>
      </c>
    </row>
    <row r="31" spans="2:102"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6"/>
      <c r="AC31" s="6"/>
      <c r="AD31" s="6"/>
      <c r="AE31" s="6"/>
      <c r="AF31" s="6"/>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Y31" s="47"/>
      <c r="BZ31" s="47"/>
      <c r="CA31" s="47"/>
      <c r="CB31" s="47"/>
      <c r="CC31" s="47"/>
      <c r="CD31" s="47"/>
      <c r="CE31" s="47"/>
      <c r="CF31" s="47"/>
      <c r="CH31" s="47"/>
      <c r="CI31" s="47"/>
      <c r="CJ31" s="47"/>
      <c r="CK31" s="47"/>
      <c r="CL31" s="47"/>
      <c r="CM31" s="47"/>
      <c r="CN31" s="47"/>
      <c r="CO31" s="47"/>
      <c r="CQ31" s="47">
        <f t="shared" si="25"/>
        <v>0</v>
      </c>
      <c r="CR31" s="47">
        <f t="shared" si="26"/>
        <v>0</v>
      </c>
      <c r="CS31" s="47">
        <f t="shared" si="27"/>
        <v>0</v>
      </c>
      <c r="CT31" s="47">
        <f t="shared" si="28"/>
        <v>0</v>
      </c>
      <c r="CU31" s="47">
        <f t="shared" si="29"/>
        <v>0</v>
      </c>
      <c r="CV31" s="47">
        <f t="shared" si="30"/>
        <v>0</v>
      </c>
      <c r="CW31" s="47">
        <f t="shared" si="31"/>
        <v>0</v>
      </c>
      <c r="CX31" s="47">
        <f t="shared" si="32"/>
        <v>0</v>
      </c>
    </row>
    <row r="32" spans="2:102"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47">
        <f t="shared" si="25"/>
        <v>0</v>
      </c>
      <c r="CR32" s="47">
        <f t="shared" si="26"/>
        <v>0</v>
      </c>
      <c r="CS32" s="47">
        <f t="shared" si="27"/>
        <v>0</v>
      </c>
      <c r="CT32" s="47">
        <f t="shared" si="28"/>
        <v>0</v>
      </c>
      <c r="CU32" s="47">
        <f t="shared" si="29"/>
        <v>0</v>
      </c>
      <c r="CV32" s="47">
        <f t="shared" si="30"/>
        <v>0</v>
      </c>
      <c r="CW32" s="47">
        <f t="shared" si="31"/>
        <v>0</v>
      </c>
      <c r="CX32" s="47">
        <f t="shared" si="32"/>
        <v>0</v>
      </c>
    </row>
    <row r="33" spans="2:102"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47">
        <f t="shared" si="25"/>
        <v>0</v>
      </c>
      <c r="CR33" s="47">
        <f t="shared" si="26"/>
        <v>0</v>
      </c>
      <c r="CS33" s="47">
        <f t="shared" si="27"/>
        <v>0</v>
      </c>
      <c r="CT33" s="47">
        <f t="shared" si="28"/>
        <v>0</v>
      </c>
      <c r="CU33" s="47">
        <f t="shared" si="29"/>
        <v>0</v>
      </c>
      <c r="CV33" s="47">
        <f t="shared" si="30"/>
        <v>0</v>
      </c>
      <c r="CW33" s="47">
        <f t="shared" si="31"/>
        <v>0</v>
      </c>
      <c r="CX33" s="47">
        <f t="shared" si="32"/>
        <v>0</v>
      </c>
    </row>
    <row r="34" spans="2:102"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47">
        <f t="shared" si="25"/>
        <v>0</v>
      </c>
      <c r="CR34" s="47">
        <f t="shared" si="26"/>
        <v>0</v>
      </c>
      <c r="CS34" s="47">
        <f t="shared" si="27"/>
        <v>0</v>
      </c>
      <c r="CT34" s="47">
        <f t="shared" si="28"/>
        <v>0</v>
      </c>
      <c r="CU34" s="47">
        <f t="shared" si="29"/>
        <v>0</v>
      </c>
      <c r="CV34" s="47">
        <f t="shared" si="30"/>
        <v>0</v>
      </c>
      <c r="CW34" s="47">
        <f t="shared" si="31"/>
        <v>0</v>
      </c>
      <c r="CX34" s="47">
        <f t="shared" si="32"/>
        <v>0</v>
      </c>
    </row>
    <row r="35" spans="2:102"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47">
        <f t="shared" si="25"/>
        <v>0</v>
      </c>
      <c r="CR35" s="47">
        <f t="shared" si="26"/>
        <v>0</v>
      </c>
      <c r="CS35" s="47">
        <f t="shared" si="27"/>
        <v>0</v>
      </c>
      <c r="CT35" s="47">
        <f t="shared" si="28"/>
        <v>0</v>
      </c>
      <c r="CU35" s="47">
        <f t="shared" si="29"/>
        <v>0</v>
      </c>
      <c r="CV35" s="47">
        <f t="shared" si="30"/>
        <v>0</v>
      </c>
      <c r="CW35" s="47">
        <f t="shared" si="31"/>
        <v>0</v>
      </c>
      <c r="CX35" s="47">
        <f t="shared" si="32"/>
        <v>0</v>
      </c>
    </row>
    <row r="36" spans="2:102"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47">
        <f t="shared" si="25"/>
        <v>0</v>
      </c>
      <c r="CR36" s="47">
        <f t="shared" si="26"/>
        <v>0</v>
      </c>
      <c r="CS36" s="47">
        <f t="shared" si="27"/>
        <v>0</v>
      </c>
      <c r="CT36" s="47">
        <f t="shared" si="28"/>
        <v>0</v>
      </c>
      <c r="CU36" s="47">
        <f t="shared" si="29"/>
        <v>0</v>
      </c>
      <c r="CV36" s="47">
        <f t="shared" si="30"/>
        <v>0</v>
      </c>
      <c r="CW36" s="47">
        <f t="shared" si="31"/>
        <v>0</v>
      </c>
      <c r="CX36" s="47">
        <f t="shared" si="32"/>
        <v>0</v>
      </c>
    </row>
    <row r="37" spans="2:102" x14ac:dyDescent="0.3">
      <c r="J37" s="48">
        <f t="shared" ref="J37:Z37" si="33">SUM(J6:J36)</f>
        <v>0</v>
      </c>
      <c r="K37" s="48">
        <f t="shared" si="33"/>
        <v>0</v>
      </c>
      <c r="L37" s="48">
        <f t="shared" si="33"/>
        <v>0</v>
      </c>
      <c r="M37" s="48">
        <f t="shared" si="33"/>
        <v>5437</v>
      </c>
      <c r="N37" s="48">
        <f t="shared" si="33"/>
        <v>5397</v>
      </c>
      <c r="O37" s="48">
        <f t="shared" si="33"/>
        <v>5174</v>
      </c>
      <c r="P37" s="48">
        <f t="shared" si="33"/>
        <v>4657</v>
      </c>
      <c r="Q37" s="48">
        <f t="shared" si="33"/>
        <v>4637</v>
      </c>
      <c r="S37" s="48">
        <f t="shared" si="33"/>
        <v>0</v>
      </c>
      <c r="T37" s="48">
        <f t="shared" si="33"/>
        <v>0</v>
      </c>
      <c r="U37" s="48">
        <f t="shared" si="33"/>
        <v>0</v>
      </c>
      <c r="V37" s="48">
        <f t="shared" si="33"/>
        <v>560.84830230344721</v>
      </c>
      <c r="W37" s="48">
        <f t="shared" si="33"/>
        <v>562.43420178071347</v>
      </c>
      <c r="X37" s="48">
        <f t="shared" si="33"/>
        <v>544.99867281898435</v>
      </c>
      <c r="Y37" s="48">
        <f t="shared" si="33"/>
        <v>495.17913093166231</v>
      </c>
      <c r="Z37" s="48">
        <f t="shared" si="33"/>
        <v>497.3913918134557</v>
      </c>
      <c r="AB37" s="575"/>
      <c r="AC37" s="575"/>
      <c r="AD37" s="575"/>
      <c r="AE37" s="575"/>
      <c r="AF37" s="575"/>
      <c r="AG37" s="48">
        <f t="shared" ref="AG37:CR37" si="34">SUM(AG6:AG36)</f>
        <v>0</v>
      </c>
      <c r="AH37" s="48">
        <f t="shared" si="34"/>
        <v>0</v>
      </c>
      <c r="AI37" s="48">
        <f t="shared" si="34"/>
        <v>0</v>
      </c>
      <c r="AJ37" s="48">
        <f t="shared" si="34"/>
        <v>0</v>
      </c>
      <c r="AK37" s="48">
        <f t="shared" si="34"/>
        <v>0</v>
      </c>
      <c r="AL37" s="48">
        <f t="shared" si="34"/>
        <v>0</v>
      </c>
      <c r="AM37" s="48">
        <f t="shared" si="34"/>
        <v>0</v>
      </c>
      <c r="AN37" s="48">
        <f t="shared" si="34"/>
        <v>0</v>
      </c>
      <c r="AO37" s="48">
        <f t="shared" si="34"/>
        <v>0</v>
      </c>
      <c r="AP37" s="48">
        <f t="shared" si="34"/>
        <v>0</v>
      </c>
      <c r="AQ37" s="48">
        <f t="shared" si="34"/>
        <v>0</v>
      </c>
      <c r="AR37" s="48">
        <f t="shared" si="34"/>
        <v>0</v>
      </c>
      <c r="AS37" s="48">
        <f t="shared" si="34"/>
        <v>0</v>
      </c>
      <c r="AT37" s="48">
        <f t="shared" si="34"/>
        <v>0</v>
      </c>
      <c r="AU37" s="48">
        <f t="shared" si="34"/>
        <v>0</v>
      </c>
      <c r="AV37" s="48">
        <f t="shared" si="34"/>
        <v>239.11830487803283</v>
      </c>
      <c r="AW37" s="48">
        <f t="shared" si="34"/>
        <v>0</v>
      </c>
      <c r="AX37" s="48">
        <f t="shared" si="34"/>
        <v>956.47321951213132</v>
      </c>
      <c r="AY37" s="48">
        <f t="shared" si="34"/>
        <v>1195.5915243901641</v>
      </c>
      <c r="AZ37" s="48">
        <f t="shared" si="34"/>
        <v>0</v>
      </c>
      <c r="BA37" s="48">
        <f t="shared" si="34"/>
        <v>0</v>
      </c>
      <c r="BB37" s="48">
        <f t="shared" si="34"/>
        <v>237.35911190486357</v>
      </c>
      <c r="BC37" s="48">
        <f t="shared" si="34"/>
        <v>0</v>
      </c>
      <c r="BD37" s="48">
        <f t="shared" si="34"/>
        <v>949.43644761945427</v>
      </c>
      <c r="BE37" s="48">
        <f t="shared" si="34"/>
        <v>1186.7955595243177</v>
      </c>
      <c r="BF37" s="48">
        <f t="shared" si="34"/>
        <v>0</v>
      </c>
      <c r="BG37" s="48">
        <f t="shared" si="34"/>
        <v>0</v>
      </c>
      <c r="BH37" s="48">
        <f t="shared" si="34"/>
        <v>227.55161107944488</v>
      </c>
      <c r="BI37" s="48">
        <f t="shared" si="34"/>
        <v>0</v>
      </c>
      <c r="BJ37" s="48">
        <f t="shared" si="34"/>
        <v>910.20644431777953</v>
      </c>
      <c r="BK37" s="48">
        <f t="shared" si="34"/>
        <v>1137.7580553972243</v>
      </c>
      <c r="BL37" s="48">
        <f t="shared" si="34"/>
        <v>0</v>
      </c>
      <c r="BM37" s="48">
        <f t="shared" si="34"/>
        <v>0</v>
      </c>
      <c r="BN37" s="48">
        <f t="shared" si="34"/>
        <v>204.81404190123209</v>
      </c>
      <c r="BO37" s="48">
        <f t="shared" si="34"/>
        <v>0</v>
      </c>
      <c r="BP37" s="48">
        <f t="shared" si="34"/>
        <v>819.25616760492835</v>
      </c>
      <c r="BQ37" s="48">
        <f t="shared" si="34"/>
        <v>1024.0702095061604</v>
      </c>
      <c r="BR37" s="48">
        <f t="shared" si="34"/>
        <v>0</v>
      </c>
      <c r="BS37" s="48">
        <f t="shared" si="34"/>
        <v>0</v>
      </c>
      <c r="BT37" s="48">
        <f t="shared" si="34"/>
        <v>203.93444541464746</v>
      </c>
      <c r="BU37" s="48">
        <f t="shared" si="34"/>
        <v>0</v>
      </c>
      <c r="BV37" s="48">
        <f t="shared" si="34"/>
        <v>815.73778165858982</v>
      </c>
      <c r="BW37" s="48">
        <f t="shared" si="34"/>
        <v>1019.6722270732373</v>
      </c>
      <c r="BY37" s="48">
        <f t="shared" si="34"/>
        <v>0</v>
      </c>
      <c r="BZ37" s="48">
        <f t="shared" si="34"/>
        <v>0</v>
      </c>
      <c r="CA37" s="48">
        <f t="shared" si="34"/>
        <v>0</v>
      </c>
      <c r="CB37" s="48">
        <f t="shared" si="34"/>
        <v>3308.5734031289453</v>
      </c>
      <c r="CC37" s="48">
        <f t="shared" si="34"/>
        <v>3317.9289896734158</v>
      </c>
      <c r="CD37" s="48">
        <f t="shared" si="34"/>
        <v>3215.0727856779013</v>
      </c>
      <c r="CE37" s="48">
        <f t="shared" si="34"/>
        <v>2921.1758253635239</v>
      </c>
      <c r="CF37" s="48">
        <f t="shared" si="34"/>
        <v>2934.2264622010121</v>
      </c>
      <c r="CH37" s="48">
        <f t="shared" si="34"/>
        <v>0</v>
      </c>
      <c r="CI37" s="48">
        <f t="shared" si="34"/>
        <v>0</v>
      </c>
      <c r="CJ37" s="48">
        <f t="shared" si="34"/>
        <v>0</v>
      </c>
      <c r="CK37" s="48">
        <f t="shared" si="34"/>
        <v>495.65405659521235</v>
      </c>
      <c r="CL37" s="48">
        <f t="shared" si="34"/>
        <v>492.00753052130972</v>
      </c>
      <c r="CM37" s="48">
        <f t="shared" si="34"/>
        <v>471.67814765930268</v>
      </c>
      <c r="CN37" s="48">
        <f t="shared" si="34"/>
        <v>424.54679815411146</v>
      </c>
      <c r="CO37" s="48">
        <f t="shared" si="34"/>
        <v>422.72353511716017</v>
      </c>
      <c r="CQ37" s="48">
        <f t="shared" si="34"/>
        <v>0</v>
      </c>
      <c r="CR37" s="48">
        <f t="shared" si="34"/>
        <v>0</v>
      </c>
      <c r="CS37" s="48">
        <f t="shared" ref="CS37:CX37" si="35">SUM(CS6:CS36)</f>
        <v>0</v>
      </c>
      <c r="CT37" s="48">
        <f t="shared" si="35"/>
        <v>5560.6672864177699</v>
      </c>
      <c r="CU37" s="48">
        <f t="shared" si="35"/>
        <v>5559.1662814997571</v>
      </c>
      <c r="CV37" s="48">
        <f t="shared" si="35"/>
        <v>5369.5076615534126</v>
      </c>
      <c r="CW37" s="48">
        <f t="shared" si="35"/>
        <v>4864.9719639554587</v>
      </c>
      <c r="CX37" s="48">
        <f t="shared" si="35"/>
        <v>4874.0136162048666</v>
      </c>
    </row>
    <row r="38" spans="2:102" x14ac:dyDescent="0.3">
      <c r="CQ38" s="85">
        <f t="shared" ref="CQ38:CX38" si="36">IF(ISERROR((CQ37-J37)/J37),0,(CQ37-J37)/J37)</f>
        <v>0</v>
      </c>
      <c r="CR38" s="85">
        <f t="shared" si="36"/>
        <v>0</v>
      </c>
      <c r="CS38" s="85">
        <f t="shared" si="36"/>
        <v>0</v>
      </c>
      <c r="CT38" s="85">
        <f t="shared" si="36"/>
        <v>2.2745500536650708E-2</v>
      </c>
      <c r="CU38" s="85">
        <f t="shared" si="36"/>
        <v>3.004748591805765E-2</v>
      </c>
      <c r="CV38" s="85">
        <f t="shared" si="36"/>
        <v>3.778656002191972E-2</v>
      </c>
      <c r="CW38" s="85">
        <f t="shared" si="36"/>
        <v>4.4657926552600105E-2</v>
      </c>
      <c r="CX38" s="85">
        <f t="shared" si="36"/>
        <v>5.1113568299518353E-2</v>
      </c>
    </row>
    <row r="39" spans="2:102" x14ac:dyDescent="0.3">
      <c r="H39" s="1" t="s">
        <v>133</v>
      </c>
      <c r="M39" s="161"/>
      <c r="N39" s="161"/>
      <c r="O39" s="161"/>
      <c r="P39" s="161"/>
      <c r="Q39" s="161"/>
    </row>
    <row r="40" spans="2:102" x14ac:dyDescent="0.3">
      <c r="M40" s="39"/>
      <c r="N40" s="39"/>
      <c r="O40" s="39"/>
      <c r="P40" s="39"/>
      <c r="Q40" s="39"/>
    </row>
  </sheetData>
  <mergeCells count="10">
    <mergeCell ref="J3:Q3"/>
    <mergeCell ref="S3:Z3"/>
    <mergeCell ref="BY3:CF3"/>
    <mergeCell ref="CQ3:CX3"/>
    <mergeCell ref="CH3:CO3"/>
    <mergeCell ref="J4:Q4"/>
    <mergeCell ref="S4:Z4"/>
    <mergeCell ref="BY4:CF4"/>
    <mergeCell ref="CH4:CO4"/>
    <mergeCell ref="CQ4:CX4"/>
  </mergeCells>
  <hyperlinks>
    <hyperlink ref="B2" location="Contents!A1" display="Table of Contents" xr:uid="{00000000-0004-0000-0E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xWindow="788" yWindow="547" count="5">
        <x14:dataValidation type="list" errorStyle="warning" showInputMessage="1" showErrorMessage="1" error="Invalid data entered" prompt="Select from drop down list" xr:uid="{00000000-0002-0000-0E00-000000000000}">
          <x14:formula1>
            <xm:f>Lookups!$C$16:$C$27</xm:f>
          </x14:formula1>
          <xm:sqref>F6:F36</xm:sqref>
        </x14:dataValidation>
        <x14:dataValidation type="list" errorStyle="warning" showInputMessage="1" showErrorMessage="1" error="Invalid data entered" prompt="Select from drop down list" xr:uid="{00000000-0002-0000-0E00-000001000000}">
          <x14:formula1>
            <xm:f>Lookups!$C$5:$C$13</xm:f>
          </x14:formula1>
          <xm:sqref>E6:E36</xm:sqref>
        </x14:dataValidation>
        <x14:dataValidation type="list" errorStyle="warning" allowBlank="1" showInputMessage="1" showErrorMessage="1" prompt="Select from drop down list" xr:uid="{00000000-0002-0000-0E00-000002000000}">
          <x14:formula1>
            <xm:f>Lab_Mat!$C$62:$C$98</xm:f>
          </x14:formula1>
          <xm:sqref>I6:I36</xm:sqref>
        </x14:dataValidation>
        <x14:dataValidation type="list" errorStyle="warning" showInputMessage="1" showErrorMessage="1" error="Invalid data entered" prompt="Select from drop down list" xr:uid="{00000000-0002-0000-0E00-000003000000}">
          <x14:formula1>
            <xm:f>Lookups!$I$5:$I$10</xm:f>
          </x14:formula1>
          <xm:sqref>G6:G36</xm:sqref>
        </x14:dataValidation>
        <x14:dataValidation type="list" errorStyle="warning" allowBlank="1" showInputMessage="1" showErrorMessage="1" prompt="Select from drop down list" xr:uid="{00000000-0002-0000-0E00-000004000000}">
          <x14:formula1>
            <xm:f>Lab_Mat!$C$13:$C$22</xm:f>
          </x14:formula1>
          <xm:sqref>H6:H36</xm:sqref>
        </x14:dataValidation>
      </x14:dataValidations>
    </ex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B1:DT44"/>
  <sheetViews>
    <sheetView zoomScale="70" zoomScaleNormal="70" zoomScalePageLayoutView="125" workbookViewId="0">
      <pane xSplit="4" topLeftCell="J1" activePane="topRight" state="frozen"/>
      <selection activeCell="K24" sqref="K24"/>
      <selection pane="topRight" activeCell="O9" sqref="O9"/>
    </sheetView>
  </sheetViews>
  <sheetFormatPr defaultColWidth="8.88671875" defaultRowHeight="14.4" outlineLevelRow="1" outlineLevelCol="1" x14ac:dyDescent="0.3"/>
  <cols>
    <col min="1" max="1" width="4" style="1" customWidth="1"/>
    <col min="2" max="2" width="12" style="1" customWidth="1"/>
    <col min="3" max="3" width="44.6640625" style="1" bestFit="1" customWidth="1"/>
    <col min="4" max="4" width="17.33203125" style="1" customWidth="1"/>
    <col min="5" max="5" width="24.44140625" style="1" hidden="1" customWidth="1" outlineLevel="1"/>
    <col min="6" max="6" width="29.33203125" style="1" hidden="1" customWidth="1" outlineLevel="1"/>
    <col min="7" max="7" width="24.109375" style="1" hidden="1" customWidth="1" outlineLevel="1"/>
    <col min="8" max="8" width="23.44140625" style="1" hidden="1" customWidth="1" outlineLevel="1"/>
    <col min="9" max="9" width="28.44140625" style="1" hidden="1" customWidth="1" outlineLevel="1"/>
    <col min="10" max="10" width="8.6640625" style="1" customWidth="1" collapsed="1"/>
    <col min="11" max="17" width="8.6640625" style="1" customWidth="1"/>
    <col min="18" max="18" width="9.44140625" style="1" customWidth="1"/>
    <col min="19" max="19" width="3.109375" style="1" customWidth="1"/>
    <col min="20" max="27" width="8.44140625" style="1" customWidth="1"/>
    <col min="28" max="28" width="3.44140625" style="1" customWidth="1"/>
    <col min="29" max="30" width="8.88671875" style="1"/>
    <col min="31" max="32" width="9.109375" style="1" customWidth="1"/>
    <col min="33" max="33" width="3" style="1" customWidth="1"/>
    <col min="34" max="41" width="8.88671875" style="1"/>
    <col min="42" max="42" width="2.6640625" style="1" customWidth="1"/>
    <col min="43" max="47" width="10.44140625" style="1" customWidth="1" outlineLevel="1"/>
    <col min="48" max="48" width="8.88671875" style="1"/>
    <col min="49" max="53" width="10.44140625" style="1" customWidth="1" outlineLevel="1"/>
    <col min="54" max="54" width="8.88671875" style="1"/>
    <col min="55" max="59" width="10.44140625" style="1" customWidth="1" outlineLevel="1"/>
    <col min="60" max="60" width="8.88671875" style="1"/>
    <col min="61" max="65" width="10.44140625" style="1" customWidth="1" outlineLevel="1"/>
    <col min="66" max="66" width="8.88671875" style="1"/>
    <col min="67" max="71" width="9.109375" style="1" customWidth="1" outlineLevel="1"/>
    <col min="72" max="72" width="8.88671875" style="1"/>
    <col min="73" max="77" width="9.109375" style="1" customWidth="1" outlineLevel="1"/>
    <col min="78" max="78" width="8.88671875" style="1"/>
    <col min="79" max="83" width="9.109375" style="1" customWidth="1" outlineLevel="1"/>
    <col min="84" max="84" width="8.88671875" style="1"/>
    <col min="85" max="89" width="9.109375" style="1" customWidth="1" outlineLevel="1"/>
    <col min="90" max="90" width="8.88671875" style="1"/>
    <col min="91" max="91" width="2.6640625" style="1" customWidth="1"/>
    <col min="92" max="99" width="8.88671875" style="1"/>
    <col min="100" max="100" width="2.88671875" style="1" customWidth="1"/>
    <col min="101" max="108" width="8.88671875" style="1"/>
    <col min="109" max="109" width="2.88671875" style="1" customWidth="1"/>
    <col min="110" max="111" width="8.88671875" style="1"/>
    <col min="112" max="112" width="11" style="1" bestFit="1" customWidth="1"/>
    <col min="113" max="16384" width="8.88671875" style="1"/>
  </cols>
  <sheetData>
    <row r="1" spans="2:124" ht="18" x14ac:dyDescent="0.35">
      <c r="B1" s="10" t="s">
        <v>253</v>
      </c>
      <c r="M1" s="596" t="s">
        <v>749</v>
      </c>
      <c r="N1" s="596"/>
    </row>
    <row r="2" spans="2:124" x14ac:dyDescent="0.3">
      <c r="B2" s="25" t="s">
        <v>6</v>
      </c>
    </row>
    <row r="3" spans="2:124" x14ac:dyDescent="0.3">
      <c r="R3" s="67"/>
      <c r="T3" s="592"/>
      <c r="U3" s="592"/>
      <c r="V3" s="592"/>
      <c r="W3" s="592"/>
      <c r="X3" s="592"/>
      <c r="Y3" s="592"/>
      <c r="Z3" s="592"/>
      <c r="AA3" s="592"/>
      <c r="AH3" s="592"/>
      <c r="AI3" s="592"/>
      <c r="AJ3" s="592"/>
      <c r="AK3" s="592"/>
      <c r="AL3" s="592"/>
      <c r="AM3" s="592"/>
      <c r="AN3" s="592"/>
      <c r="AO3" s="592"/>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N3" s="592"/>
      <c r="CO3" s="592"/>
      <c r="CP3" s="592"/>
      <c r="CQ3" s="592"/>
      <c r="CR3" s="592"/>
      <c r="CS3" s="592"/>
      <c r="CT3" s="592"/>
      <c r="CU3" s="592"/>
      <c r="CW3" s="592"/>
      <c r="CX3" s="592"/>
      <c r="CY3" s="592"/>
      <c r="CZ3" s="592"/>
      <c r="DA3" s="592"/>
      <c r="DB3" s="592"/>
      <c r="DC3" s="592"/>
      <c r="DD3" s="592"/>
      <c r="DF3" s="592"/>
      <c r="DG3" s="592"/>
      <c r="DH3" s="592"/>
      <c r="DI3" s="592"/>
      <c r="DJ3" s="592"/>
      <c r="DK3" s="592"/>
      <c r="DL3" s="592"/>
      <c r="DM3" s="592"/>
    </row>
    <row r="4" spans="2:124" hidden="1" outlineLevel="1" x14ac:dyDescent="0.3">
      <c r="R4" s="67"/>
      <c r="T4" s="81"/>
      <c r="U4" s="224"/>
      <c r="V4" s="333"/>
      <c r="W4" s="81"/>
      <c r="X4" s="81"/>
      <c r="Y4" s="81"/>
      <c r="Z4" s="81"/>
      <c r="AA4" s="81"/>
      <c r="AC4" s="1" t="s">
        <v>174</v>
      </c>
      <c r="AD4" s="1" t="s">
        <v>173</v>
      </c>
      <c r="AE4" s="1" t="s">
        <v>297</v>
      </c>
      <c r="AF4" s="1" t="s">
        <v>175</v>
      </c>
      <c r="AH4" s="81"/>
      <c r="AI4" s="224"/>
      <c r="AJ4" s="333"/>
      <c r="AK4" s="81"/>
      <c r="AL4" s="81"/>
      <c r="AM4" s="81"/>
      <c r="AN4" s="81"/>
      <c r="AO4" s="81"/>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N4" s="81"/>
      <c r="CO4" s="224"/>
      <c r="CP4" s="333"/>
      <c r="CQ4" s="81"/>
      <c r="CR4" s="81"/>
      <c r="CS4" s="81"/>
      <c r="CT4" s="81"/>
      <c r="CU4" s="81"/>
      <c r="CW4" s="94"/>
      <c r="CX4" s="224"/>
      <c r="CY4" s="333"/>
      <c r="CZ4" s="94"/>
      <c r="DA4" s="94"/>
      <c r="DB4" s="94"/>
      <c r="DC4" s="94"/>
      <c r="DD4" s="94"/>
      <c r="DF4" s="81"/>
      <c r="DG4" s="224"/>
      <c r="DH4" s="333"/>
      <c r="DI4" s="81"/>
      <c r="DJ4" s="81"/>
      <c r="DK4" s="81"/>
      <c r="DL4" s="81"/>
      <c r="DM4" s="81"/>
    </row>
    <row r="5" spans="2:124" ht="57.6" collapsed="1" x14ac:dyDescent="0.3">
      <c r="B5" s="2" t="s">
        <v>287</v>
      </c>
      <c r="J5" s="589" t="s">
        <v>385</v>
      </c>
      <c r="K5" s="590"/>
      <c r="L5" s="590"/>
      <c r="M5" s="590"/>
      <c r="N5" s="590"/>
      <c r="O5" s="590"/>
      <c r="P5" s="590"/>
      <c r="Q5" s="591"/>
      <c r="R5" s="9" t="s">
        <v>377</v>
      </c>
      <c r="T5" s="589" t="s">
        <v>386</v>
      </c>
      <c r="U5" s="590"/>
      <c r="V5" s="590"/>
      <c r="W5" s="590"/>
      <c r="X5" s="590"/>
      <c r="Y5" s="590"/>
      <c r="Z5" s="590"/>
      <c r="AA5" s="591"/>
      <c r="AC5" s="9" t="s">
        <v>381</v>
      </c>
      <c r="AD5" s="9" t="s">
        <v>382</v>
      </c>
      <c r="AE5" s="9" t="s">
        <v>383</v>
      </c>
      <c r="AF5" s="9" t="s">
        <v>384</v>
      </c>
      <c r="AG5" s="58"/>
      <c r="AH5" s="589" t="s">
        <v>174</v>
      </c>
      <c r="AI5" s="590"/>
      <c r="AJ5" s="590"/>
      <c r="AK5" s="590"/>
      <c r="AL5" s="590"/>
      <c r="AM5" s="590"/>
      <c r="AN5" s="590"/>
      <c r="AO5" s="591"/>
      <c r="AP5" s="58"/>
      <c r="AQ5" s="9" t="s">
        <v>180</v>
      </c>
      <c r="AR5" s="9" t="s">
        <v>181</v>
      </c>
      <c r="AS5" s="9" t="s">
        <v>182</v>
      </c>
      <c r="AT5" s="9" t="s">
        <v>183</v>
      </c>
      <c r="AU5" s="9" t="s">
        <v>5</v>
      </c>
      <c r="AV5" s="9" t="s">
        <v>173</v>
      </c>
      <c r="AW5" s="9" t="s">
        <v>180</v>
      </c>
      <c r="AX5" s="9" t="s">
        <v>181</v>
      </c>
      <c r="AY5" s="9" t="s">
        <v>182</v>
      </c>
      <c r="AZ5" s="9" t="s">
        <v>183</v>
      </c>
      <c r="BA5" s="9" t="s">
        <v>5</v>
      </c>
      <c r="BB5" s="9" t="s">
        <v>173</v>
      </c>
      <c r="BC5" s="9" t="s">
        <v>180</v>
      </c>
      <c r="BD5" s="9" t="s">
        <v>181</v>
      </c>
      <c r="BE5" s="9" t="s">
        <v>182</v>
      </c>
      <c r="BF5" s="9" t="s">
        <v>183</v>
      </c>
      <c r="BG5" s="9" t="s">
        <v>5</v>
      </c>
      <c r="BH5" s="9" t="s">
        <v>173</v>
      </c>
      <c r="BI5" s="9" t="s">
        <v>180</v>
      </c>
      <c r="BJ5" s="9" t="s">
        <v>181</v>
      </c>
      <c r="BK5" s="9" t="s">
        <v>182</v>
      </c>
      <c r="BL5" s="9" t="s">
        <v>183</v>
      </c>
      <c r="BM5" s="9" t="s">
        <v>5</v>
      </c>
      <c r="BN5" s="9" t="s">
        <v>173</v>
      </c>
      <c r="BO5" s="9" t="s">
        <v>180</v>
      </c>
      <c r="BP5" s="9" t="s">
        <v>181</v>
      </c>
      <c r="BQ5" s="9" t="s">
        <v>182</v>
      </c>
      <c r="BR5" s="9" t="s">
        <v>183</v>
      </c>
      <c r="BS5" s="9" t="s">
        <v>5</v>
      </c>
      <c r="BT5" s="9" t="s">
        <v>173</v>
      </c>
      <c r="BU5" s="9" t="s">
        <v>180</v>
      </c>
      <c r="BV5" s="9" t="s">
        <v>181</v>
      </c>
      <c r="BW5" s="9" t="s">
        <v>182</v>
      </c>
      <c r="BX5" s="9" t="s">
        <v>183</v>
      </c>
      <c r="BY5" s="9" t="s">
        <v>5</v>
      </c>
      <c r="BZ5" s="9" t="s">
        <v>173</v>
      </c>
      <c r="CA5" s="9" t="s">
        <v>180</v>
      </c>
      <c r="CB5" s="9" t="s">
        <v>181</v>
      </c>
      <c r="CC5" s="9" t="s">
        <v>182</v>
      </c>
      <c r="CD5" s="9" t="s">
        <v>183</v>
      </c>
      <c r="CE5" s="9" t="s">
        <v>5</v>
      </c>
      <c r="CF5" s="9" t="s">
        <v>173</v>
      </c>
      <c r="CG5" s="9" t="s">
        <v>180</v>
      </c>
      <c r="CH5" s="9" t="s">
        <v>181</v>
      </c>
      <c r="CI5" s="9" t="s">
        <v>182</v>
      </c>
      <c r="CJ5" s="9" t="s">
        <v>183</v>
      </c>
      <c r="CK5" s="9" t="s">
        <v>5</v>
      </c>
      <c r="CL5" s="9" t="s">
        <v>173</v>
      </c>
      <c r="CM5" s="58"/>
      <c r="CN5" s="589" t="s">
        <v>297</v>
      </c>
      <c r="CO5" s="590"/>
      <c r="CP5" s="590"/>
      <c r="CQ5" s="590"/>
      <c r="CR5" s="590"/>
      <c r="CS5" s="590"/>
      <c r="CT5" s="590"/>
      <c r="CU5" s="591"/>
      <c r="CV5" s="58"/>
      <c r="CW5" s="589" t="s">
        <v>175</v>
      </c>
      <c r="CX5" s="590"/>
      <c r="CY5" s="590"/>
      <c r="CZ5" s="590"/>
      <c r="DA5" s="590"/>
      <c r="DB5" s="590"/>
      <c r="DC5" s="590"/>
      <c r="DD5" s="591"/>
      <c r="DE5" s="58"/>
      <c r="DF5" s="589" t="s">
        <v>379</v>
      </c>
      <c r="DG5" s="590"/>
      <c r="DH5" s="590"/>
      <c r="DI5" s="590"/>
      <c r="DJ5" s="590"/>
      <c r="DK5" s="590"/>
      <c r="DL5" s="590"/>
      <c r="DM5" s="591"/>
    </row>
    <row r="6" spans="2:124" x14ac:dyDescent="0.3">
      <c r="B6" s="8" t="s">
        <v>23</v>
      </c>
      <c r="C6" s="8" t="s">
        <v>24</v>
      </c>
      <c r="D6" s="17" t="s">
        <v>98</v>
      </c>
      <c r="E6" s="17" t="s">
        <v>76</v>
      </c>
      <c r="F6" s="17" t="s">
        <v>77</v>
      </c>
      <c r="G6" s="17" t="s">
        <v>322</v>
      </c>
      <c r="H6" s="17" t="s">
        <v>212</v>
      </c>
      <c r="I6" s="17" t="s">
        <v>177</v>
      </c>
      <c r="J6" s="335">
        <f>CP_Yr_4</f>
        <v>43800</v>
      </c>
      <c r="K6" s="335">
        <f>CP_Yr_5</f>
        <v>44166</v>
      </c>
      <c r="L6" s="335">
        <f>Stub</f>
        <v>44377</v>
      </c>
      <c r="M6" s="335">
        <f>Yr_1</f>
        <v>44742</v>
      </c>
      <c r="N6" s="335">
        <f>Yr_2</f>
        <v>45107</v>
      </c>
      <c r="O6" s="335">
        <f>Yr_3</f>
        <v>45473</v>
      </c>
      <c r="P6" s="335">
        <f>Yr_4</f>
        <v>45838</v>
      </c>
      <c r="Q6" s="335">
        <f>Yr_5</f>
        <v>46203</v>
      </c>
      <c r="R6" s="335"/>
      <c r="S6" s="336"/>
      <c r="T6" s="335">
        <f>CP_Yr_4</f>
        <v>43800</v>
      </c>
      <c r="U6" s="335">
        <f>CP_Yr_5</f>
        <v>44166</v>
      </c>
      <c r="V6" s="335">
        <f>Stub</f>
        <v>44377</v>
      </c>
      <c r="W6" s="335">
        <f>Yr_1</f>
        <v>44742</v>
      </c>
      <c r="X6" s="335">
        <f>Yr_2</f>
        <v>45107</v>
      </c>
      <c r="Y6" s="335">
        <f>Yr_3</f>
        <v>45473</v>
      </c>
      <c r="Z6" s="335">
        <f>Yr_4</f>
        <v>45838</v>
      </c>
      <c r="AA6" s="335">
        <f>Yr_5</f>
        <v>46203</v>
      </c>
      <c r="AB6" s="336"/>
      <c r="AC6" s="335"/>
      <c r="AD6" s="335"/>
      <c r="AE6" s="335"/>
      <c r="AF6" s="335"/>
      <c r="AG6" s="226"/>
      <c r="AH6" s="335">
        <f>CP_Yr_4</f>
        <v>43800</v>
      </c>
      <c r="AI6" s="335">
        <f>CP_Yr_5</f>
        <v>44166</v>
      </c>
      <c r="AJ6" s="335">
        <f>Stub</f>
        <v>44377</v>
      </c>
      <c r="AK6" s="335">
        <f>Yr_1</f>
        <v>44742</v>
      </c>
      <c r="AL6" s="335">
        <f>Yr_2</f>
        <v>45107</v>
      </c>
      <c r="AM6" s="335">
        <f>Yr_3</f>
        <v>45473</v>
      </c>
      <c r="AN6" s="335">
        <f>Yr_4</f>
        <v>45838</v>
      </c>
      <c r="AO6" s="335">
        <f>Yr_5</f>
        <v>46203</v>
      </c>
      <c r="AP6" s="336"/>
      <c r="AQ6" s="335">
        <f t="shared" ref="AQ6:AV6" si="0">CP_Yr_4</f>
        <v>43800</v>
      </c>
      <c r="AR6" s="335">
        <f t="shared" si="0"/>
        <v>43800</v>
      </c>
      <c r="AS6" s="335">
        <f t="shared" si="0"/>
        <v>43800</v>
      </c>
      <c r="AT6" s="335">
        <f t="shared" si="0"/>
        <v>43800</v>
      </c>
      <c r="AU6" s="335">
        <f t="shared" si="0"/>
        <v>43800</v>
      </c>
      <c r="AV6" s="335">
        <f t="shared" si="0"/>
        <v>43800</v>
      </c>
      <c r="AW6" s="335">
        <f t="shared" ref="AW6:BB6" si="1">CP_Yr_5</f>
        <v>44166</v>
      </c>
      <c r="AX6" s="335">
        <f t="shared" si="1"/>
        <v>44166</v>
      </c>
      <c r="AY6" s="335">
        <f t="shared" si="1"/>
        <v>44166</v>
      </c>
      <c r="AZ6" s="335">
        <f t="shared" si="1"/>
        <v>44166</v>
      </c>
      <c r="BA6" s="335">
        <f t="shared" si="1"/>
        <v>44166</v>
      </c>
      <c r="BB6" s="335">
        <f t="shared" si="1"/>
        <v>44166</v>
      </c>
      <c r="BC6" s="335">
        <f t="shared" ref="BC6:BH6" si="2">Stub</f>
        <v>44377</v>
      </c>
      <c r="BD6" s="335">
        <f t="shared" si="2"/>
        <v>44377</v>
      </c>
      <c r="BE6" s="335">
        <f t="shared" si="2"/>
        <v>44377</v>
      </c>
      <c r="BF6" s="335">
        <f t="shared" si="2"/>
        <v>44377</v>
      </c>
      <c r="BG6" s="335">
        <f t="shared" si="2"/>
        <v>44377</v>
      </c>
      <c r="BH6" s="335">
        <f t="shared" si="2"/>
        <v>44377</v>
      </c>
      <c r="BI6" s="335">
        <f t="shared" ref="BI6:BN6" si="3">Yr_1</f>
        <v>44742</v>
      </c>
      <c r="BJ6" s="335">
        <f t="shared" si="3"/>
        <v>44742</v>
      </c>
      <c r="BK6" s="335">
        <f t="shared" si="3"/>
        <v>44742</v>
      </c>
      <c r="BL6" s="335">
        <f t="shared" si="3"/>
        <v>44742</v>
      </c>
      <c r="BM6" s="335">
        <f t="shared" si="3"/>
        <v>44742</v>
      </c>
      <c r="BN6" s="335">
        <f t="shared" si="3"/>
        <v>44742</v>
      </c>
      <c r="BO6" s="335">
        <f t="shared" ref="BO6:BT6" si="4">Yr_2</f>
        <v>45107</v>
      </c>
      <c r="BP6" s="335">
        <f t="shared" si="4"/>
        <v>45107</v>
      </c>
      <c r="BQ6" s="335">
        <f t="shared" si="4"/>
        <v>45107</v>
      </c>
      <c r="BR6" s="335">
        <f t="shared" si="4"/>
        <v>45107</v>
      </c>
      <c r="BS6" s="335">
        <f t="shared" si="4"/>
        <v>45107</v>
      </c>
      <c r="BT6" s="335">
        <f t="shared" si="4"/>
        <v>45107</v>
      </c>
      <c r="BU6" s="335">
        <f t="shared" ref="BU6:BZ6" si="5">Yr_3</f>
        <v>45473</v>
      </c>
      <c r="BV6" s="335">
        <f t="shared" si="5"/>
        <v>45473</v>
      </c>
      <c r="BW6" s="335">
        <f t="shared" si="5"/>
        <v>45473</v>
      </c>
      <c r="BX6" s="335">
        <f t="shared" si="5"/>
        <v>45473</v>
      </c>
      <c r="BY6" s="335">
        <f t="shared" si="5"/>
        <v>45473</v>
      </c>
      <c r="BZ6" s="335">
        <f t="shared" si="5"/>
        <v>45473</v>
      </c>
      <c r="CA6" s="335">
        <f t="shared" ref="CA6:CF6" si="6">Yr_4</f>
        <v>45838</v>
      </c>
      <c r="CB6" s="335">
        <f t="shared" si="6"/>
        <v>45838</v>
      </c>
      <c r="CC6" s="335">
        <f t="shared" si="6"/>
        <v>45838</v>
      </c>
      <c r="CD6" s="335">
        <f t="shared" si="6"/>
        <v>45838</v>
      </c>
      <c r="CE6" s="335">
        <f t="shared" si="6"/>
        <v>45838</v>
      </c>
      <c r="CF6" s="335">
        <f t="shared" si="6"/>
        <v>45838</v>
      </c>
      <c r="CG6" s="335">
        <f t="shared" ref="CG6:CL6" si="7">Yr_5</f>
        <v>46203</v>
      </c>
      <c r="CH6" s="335">
        <f t="shared" si="7"/>
        <v>46203</v>
      </c>
      <c r="CI6" s="335">
        <f t="shared" si="7"/>
        <v>46203</v>
      </c>
      <c r="CJ6" s="335">
        <f t="shared" si="7"/>
        <v>46203</v>
      </c>
      <c r="CK6" s="335">
        <f t="shared" si="7"/>
        <v>46203</v>
      </c>
      <c r="CL6" s="335">
        <f t="shared" si="7"/>
        <v>46203</v>
      </c>
      <c r="CM6" s="336"/>
      <c r="CN6" s="335">
        <f>CP_Yr_4</f>
        <v>43800</v>
      </c>
      <c r="CO6" s="335">
        <f>CP_Yr_5</f>
        <v>44166</v>
      </c>
      <c r="CP6" s="335">
        <f>Stub</f>
        <v>44377</v>
      </c>
      <c r="CQ6" s="335">
        <f>Yr_1</f>
        <v>44742</v>
      </c>
      <c r="CR6" s="335">
        <f>Yr_2</f>
        <v>45107</v>
      </c>
      <c r="CS6" s="335">
        <f>Yr_3</f>
        <v>45473</v>
      </c>
      <c r="CT6" s="335">
        <f>Yr_4</f>
        <v>45838</v>
      </c>
      <c r="CU6" s="335">
        <f>Yr_5</f>
        <v>46203</v>
      </c>
      <c r="CV6" s="336"/>
      <c r="CW6" s="335">
        <f>CP_Yr_4</f>
        <v>43800</v>
      </c>
      <c r="CX6" s="335">
        <f>CP_Yr_5</f>
        <v>44166</v>
      </c>
      <c r="CY6" s="335">
        <f>Stub</f>
        <v>44377</v>
      </c>
      <c r="CZ6" s="335">
        <f>Yr_1</f>
        <v>44742</v>
      </c>
      <c r="DA6" s="335">
        <f>Yr_2</f>
        <v>45107</v>
      </c>
      <c r="DB6" s="335">
        <f>Yr_3</f>
        <v>45473</v>
      </c>
      <c r="DC6" s="335">
        <f>Yr_4</f>
        <v>45838</v>
      </c>
      <c r="DD6" s="335">
        <f>Yr_5</f>
        <v>46203</v>
      </c>
      <c r="DE6" s="336"/>
      <c r="DF6" s="335">
        <f>CP_Yr_4</f>
        <v>43800</v>
      </c>
      <c r="DG6" s="335">
        <f>CP_Yr_5</f>
        <v>44166</v>
      </c>
      <c r="DH6" s="335">
        <f>Stub</f>
        <v>44377</v>
      </c>
      <c r="DI6" s="335">
        <f>Yr_1</f>
        <v>44742</v>
      </c>
      <c r="DJ6" s="335">
        <f>Yr_2</f>
        <v>45107</v>
      </c>
      <c r="DK6" s="335">
        <f>Yr_3</f>
        <v>45473</v>
      </c>
      <c r="DL6" s="335">
        <f>Yr_4</f>
        <v>45838</v>
      </c>
      <c r="DM6" s="335">
        <f>Yr_5</f>
        <v>46203</v>
      </c>
    </row>
    <row r="7" spans="2:124" x14ac:dyDescent="0.3">
      <c r="B7" s="7"/>
      <c r="C7" s="7" t="s">
        <v>113</v>
      </c>
      <c r="D7" s="7" t="s">
        <v>128</v>
      </c>
      <c r="E7" s="7" t="s">
        <v>45</v>
      </c>
      <c r="F7" s="7" t="s">
        <v>55</v>
      </c>
      <c r="G7" s="7" t="s">
        <v>150</v>
      </c>
      <c r="H7" s="7" t="s">
        <v>5</v>
      </c>
      <c r="I7" s="7" t="s">
        <v>209</v>
      </c>
      <c r="J7" s="45"/>
      <c r="K7" s="45"/>
      <c r="L7" s="45"/>
      <c r="M7" s="574"/>
      <c r="N7" s="574"/>
      <c r="O7" s="574"/>
      <c r="P7" s="574"/>
      <c r="Q7" s="574"/>
      <c r="R7" s="574"/>
      <c r="S7" s="537"/>
      <c r="T7" s="573"/>
      <c r="U7" s="573"/>
      <c r="V7" s="573"/>
      <c r="W7" s="573"/>
      <c r="X7" s="573"/>
      <c r="Y7" s="573"/>
      <c r="Z7" s="573"/>
      <c r="AA7" s="573"/>
      <c r="AB7" s="537"/>
      <c r="AC7" s="574"/>
      <c r="AD7" s="574"/>
      <c r="AE7" s="574"/>
      <c r="AF7" s="574"/>
      <c r="AG7" s="537"/>
      <c r="AH7" s="573"/>
      <c r="AI7" s="573"/>
      <c r="AJ7" s="573"/>
      <c r="AK7" s="573"/>
      <c r="AL7" s="573"/>
      <c r="AM7" s="573"/>
      <c r="AN7" s="573"/>
      <c r="AO7" s="573"/>
      <c r="AP7" s="537"/>
      <c r="AQ7" s="573"/>
      <c r="AR7" s="573"/>
      <c r="AS7" s="573"/>
      <c r="AT7" s="573"/>
      <c r="AU7" s="573"/>
      <c r="AV7" s="573"/>
      <c r="AW7" s="573"/>
      <c r="AX7" s="573"/>
      <c r="AY7" s="573"/>
      <c r="AZ7" s="573"/>
      <c r="BA7" s="573"/>
      <c r="BB7" s="573"/>
      <c r="BC7" s="573"/>
      <c r="BD7" s="573"/>
      <c r="BE7" s="573"/>
      <c r="BF7" s="573"/>
      <c r="BG7" s="573"/>
      <c r="BH7" s="573"/>
      <c r="BI7" s="573"/>
      <c r="BJ7" s="573"/>
      <c r="BK7" s="573"/>
      <c r="BL7" s="573"/>
      <c r="BM7" s="573"/>
      <c r="BN7" s="573"/>
      <c r="BO7" s="573"/>
      <c r="BP7" s="573"/>
      <c r="BQ7" s="573"/>
      <c r="BR7" s="573"/>
      <c r="BS7" s="573"/>
      <c r="BT7" s="573"/>
      <c r="BU7" s="573"/>
      <c r="BV7" s="573"/>
      <c r="BW7" s="573"/>
      <c r="BX7" s="573"/>
      <c r="BY7" s="573"/>
      <c r="BZ7" s="573"/>
      <c r="CA7" s="573"/>
      <c r="CB7" s="573"/>
      <c r="CC7" s="573"/>
      <c r="CD7" s="573"/>
      <c r="CE7" s="573"/>
      <c r="CF7" s="573"/>
      <c r="CG7" s="573"/>
      <c r="CH7" s="573"/>
      <c r="CI7" s="573"/>
      <c r="CJ7" s="573"/>
      <c r="CK7" s="573"/>
      <c r="CL7" s="573"/>
      <c r="CM7" s="537"/>
      <c r="CN7" s="573"/>
      <c r="CO7" s="573"/>
      <c r="CP7" s="573"/>
      <c r="CQ7" s="573"/>
      <c r="CR7" s="573"/>
      <c r="CS7" s="573"/>
      <c r="CT7" s="573"/>
      <c r="CU7" s="573"/>
      <c r="CV7" s="537"/>
      <c r="CW7" s="573"/>
      <c r="CX7" s="573"/>
      <c r="CY7" s="573"/>
      <c r="CZ7" s="573"/>
      <c r="DA7" s="573"/>
      <c r="DB7" s="573"/>
      <c r="DC7" s="573"/>
      <c r="DD7" s="573"/>
      <c r="DE7" s="537"/>
      <c r="DF7" s="573"/>
      <c r="DG7" s="573"/>
      <c r="DH7" s="573"/>
      <c r="DI7" s="573"/>
      <c r="DJ7" s="573"/>
      <c r="DK7" s="573"/>
      <c r="DL7" s="573"/>
      <c r="DM7" s="573"/>
      <c r="DO7" s="39"/>
      <c r="DP7" s="39"/>
      <c r="DQ7" s="39"/>
      <c r="DR7" s="39"/>
      <c r="DS7" s="39"/>
      <c r="DT7" s="39"/>
    </row>
    <row r="8" spans="2:124" x14ac:dyDescent="0.3">
      <c r="B8" s="7"/>
      <c r="C8" s="7" t="s">
        <v>114</v>
      </c>
      <c r="D8" s="7" t="s">
        <v>128</v>
      </c>
      <c r="E8" s="7" t="s">
        <v>45</v>
      </c>
      <c r="F8" s="7" t="s">
        <v>55</v>
      </c>
      <c r="G8" s="7" t="s">
        <v>150</v>
      </c>
      <c r="H8" s="7" t="s">
        <v>5</v>
      </c>
      <c r="I8" s="7" t="s">
        <v>209</v>
      </c>
      <c r="J8" s="45"/>
      <c r="K8" s="45"/>
      <c r="L8" s="45"/>
      <c r="M8" s="574"/>
      <c r="N8" s="574"/>
      <c r="O8" s="574"/>
      <c r="P8" s="574"/>
      <c r="Q8" s="574"/>
      <c r="R8" s="574"/>
      <c r="S8" s="537"/>
      <c r="T8" s="573"/>
      <c r="U8" s="573"/>
      <c r="V8" s="573"/>
      <c r="W8" s="573"/>
      <c r="X8" s="573"/>
      <c r="Y8" s="573"/>
      <c r="Z8" s="573"/>
      <c r="AA8" s="573"/>
      <c r="AB8" s="537"/>
      <c r="AC8" s="574"/>
      <c r="AD8" s="574"/>
      <c r="AE8" s="574"/>
      <c r="AF8" s="574"/>
      <c r="AG8" s="537"/>
      <c r="AH8" s="573"/>
      <c r="AI8" s="573"/>
      <c r="AJ8" s="573"/>
      <c r="AK8" s="573"/>
      <c r="AL8" s="573"/>
      <c r="AM8" s="573"/>
      <c r="AN8" s="573"/>
      <c r="AO8" s="573"/>
      <c r="AP8" s="537"/>
      <c r="AQ8" s="573"/>
      <c r="AR8" s="573"/>
      <c r="AS8" s="573"/>
      <c r="AT8" s="573"/>
      <c r="AU8" s="573"/>
      <c r="AV8" s="573"/>
      <c r="AW8" s="573"/>
      <c r="AX8" s="573"/>
      <c r="AY8" s="573"/>
      <c r="AZ8" s="573"/>
      <c r="BA8" s="573"/>
      <c r="BB8" s="573"/>
      <c r="BC8" s="573"/>
      <c r="BD8" s="573"/>
      <c r="BE8" s="573"/>
      <c r="BF8" s="573"/>
      <c r="BG8" s="573"/>
      <c r="BH8" s="573"/>
      <c r="BI8" s="573"/>
      <c r="BJ8" s="573"/>
      <c r="BK8" s="573"/>
      <c r="BL8" s="573"/>
      <c r="BM8" s="573"/>
      <c r="BN8" s="573"/>
      <c r="BO8" s="573"/>
      <c r="BP8" s="573"/>
      <c r="BQ8" s="573"/>
      <c r="BR8" s="573"/>
      <c r="BS8" s="573"/>
      <c r="BT8" s="573"/>
      <c r="BU8" s="573"/>
      <c r="BV8" s="573"/>
      <c r="BW8" s="573"/>
      <c r="BX8" s="573"/>
      <c r="BY8" s="573"/>
      <c r="BZ8" s="573"/>
      <c r="CA8" s="573"/>
      <c r="CB8" s="573"/>
      <c r="CC8" s="573"/>
      <c r="CD8" s="573"/>
      <c r="CE8" s="573"/>
      <c r="CF8" s="573"/>
      <c r="CG8" s="573"/>
      <c r="CH8" s="573"/>
      <c r="CI8" s="573"/>
      <c r="CJ8" s="573"/>
      <c r="CK8" s="573"/>
      <c r="CL8" s="573"/>
      <c r="CM8" s="537"/>
      <c r="CN8" s="573"/>
      <c r="CO8" s="573"/>
      <c r="CP8" s="573"/>
      <c r="CQ8" s="573"/>
      <c r="CR8" s="573"/>
      <c r="CS8" s="573"/>
      <c r="CT8" s="573"/>
      <c r="CU8" s="573"/>
      <c r="CV8" s="537"/>
      <c r="CW8" s="573"/>
      <c r="CX8" s="573"/>
      <c r="CY8" s="573"/>
      <c r="CZ8" s="573"/>
      <c r="DA8" s="573"/>
      <c r="DB8" s="573"/>
      <c r="DC8" s="573"/>
      <c r="DD8" s="573"/>
      <c r="DE8" s="537"/>
      <c r="DF8" s="573"/>
      <c r="DG8" s="573"/>
      <c r="DH8" s="573"/>
      <c r="DI8" s="573"/>
      <c r="DJ8" s="573"/>
      <c r="DK8" s="573"/>
      <c r="DL8" s="573"/>
      <c r="DM8" s="573"/>
      <c r="DO8" s="39"/>
      <c r="DP8" s="39"/>
      <c r="DQ8" s="39"/>
      <c r="DR8" s="39"/>
      <c r="DS8" s="39"/>
      <c r="DT8" s="39"/>
    </row>
    <row r="9" spans="2:124" x14ac:dyDescent="0.3">
      <c r="B9" s="7"/>
      <c r="C9" s="7" t="s">
        <v>115</v>
      </c>
      <c r="D9" s="7" t="s">
        <v>128</v>
      </c>
      <c r="E9" s="7" t="s">
        <v>45</v>
      </c>
      <c r="F9" s="7" t="s">
        <v>55</v>
      </c>
      <c r="G9" s="7" t="s">
        <v>150</v>
      </c>
      <c r="H9" s="7" t="s">
        <v>5</v>
      </c>
      <c r="I9" s="7" t="s">
        <v>209</v>
      </c>
      <c r="J9" s="45"/>
      <c r="K9" s="45"/>
      <c r="L9" s="45"/>
      <c r="M9" s="574"/>
      <c r="N9" s="574"/>
      <c r="O9" s="574"/>
      <c r="P9" s="574"/>
      <c r="Q9" s="574"/>
      <c r="R9" s="574"/>
      <c r="S9" s="537"/>
      <c r="T9" s="573"/>
      <c r="U9" s="573"/>
      <c r="V9" s="573"/>
      <c r="W9" s="573"/>
      <c r="X9" s="573"/>
      <c r="Y9" s="573"/>
      <c r="Z9" s="573"/>
      <c r="AA9" s="573"/>
      <c r="AB9" s="537"/>
      <c r="AC9" s="574"/>
      <c r="AD9" s="574"/>
      <c r="AE9" s="574"/>
      <c r="AF9" s="574"/>
      <c r="AG9" s="537"/>
      <c r="AH9" s="573"/>
      <c r="AI9" s="573"/>
      <c r="AJ9" s="573"/>
      <c r="AK9" s="573"/>
      <c r="AL9" s="573"/>
      <c r="AM9" s="573"/>
      <c r="AN9" s="573"/>
      <c r="AO9" s="573"/>
      <c r="AP9" s="537"/>
      <c r="AQ9" s="573"/>
      <c r="AR9" s="573"/>
      <c r="AS9" s="573"/>
      <c r="AT9" s="573"/>
      <c r="AU9" s="573"/>
      <c r="AV9" s="573"/>
      <c r="AW9" s="573"/>
      <c r="AX9" s="573"/>
      <c r="AY9" s="573"/>
      <c r="AZ9" s="573"/>
      <c r="BA9" s="573"/>
      <c r="BB9" s="573"/>
      <c r="BC9" s="573"/>
      <c r="BD9" s="573"/>
      <c r="BE9" s="573"/>
      <c r="BF9" s="573"/>
      <c r="BG9" s="573"/>
      <c r="BH9" s="573"/>
      <c r="BI9" s="573"/>
      <c r="BJ9" s="573"/>
      <c r="BK9" s="573"/>
      <c r="BL9" s="573"/>
      <c r="BM9" s="573"/>
      <c r="BN9" s="573"/>
      <c r="BO9" s="573"/>
      <c r="BP9" s="573"/>
      <c r="BQ9" s="573"/>
      <c r="BR9" s="573"/>
      <c r="BS9" s="573"/>
      <c r="BT9" s="573"/>
      <c r="BU9" s="573"/>
      <c r="BV9" s="573"/>
      <c r="BW9" s="573"/>
      <c r="BX9" s="573"/>
      <c r="BY9" s="573"/>
      <c r="BZ9" s="573"/>
      <c r="CA9" s="573"/>
      <c r="CB9" s="573"/>
      <c r="CC9" s="573"/>
      <c r="CD9" s="573"/>
      <c r="CE9" s="573"/>
      <c r="CF9" s="573"/>
      <c r="CG9" s="573"/>
      <c r="CH9" s="573"/>
      <c r="CI9" s="573"/>
      <c r="CJ9" s="573"/>
      <c r="CK9" s="573"/>
      <c r="CL9" s="573"/>
      <c r="CM9" s="537"/>
      <c r="CN9" s="573"/>
      <c r="CO9" s="573"/>
      <c r="CP9" s="573"/>
      <c r="CQ9" s="573"/>
      <c r="CR9" s="573"/>
      <c r="CS9" s="573"/>
      <c r="CT9" s="573"/>
      <c r="CU9" s="573"/>
      <c r="CV9" s="537"/>
      <c r="CW9" s="573"/>
      <c r="CX9" s="573"/>
      <c r="CY9" s="573"/>
      <c r="CZ9" s="573"/>
      <c r="DA9" s="573"/>
      <c r="DB9" s="573"/>
      <c r="DC9" s="573"/>
      <c r="DD9" s="573"/>
      <c r="DE9" s="537"/>
      <c r="DF9" s="573"/>
      <c r="DG9" s="573"/>
      <c r="DH9" s="573"/>
      <c r="DI9" s="573"/>
      <c r="DJ9" s="573"/>
      <c r="DK9" s="573"/>
      <c r="DL9" s="573"/>
      <c r="DM9" s="573"/>
      <c r="DO9" s="39"/>
      <c r="DP9" s="39"/>
      <c r="DQ9" s="39"/>
      <c r="DR9" s="39"/>
      <c r="DS9" s="39"/>
      <c r="DT9" s="39"/>
    </row>
    <row r="10" spans="2:124" x14ac:dyDescent="0.3">
      <c r="B10" s="7"/>
      <c r="C10" s="7" t="s">
        <v>116</v>
      </c>
      <c r="D10" s="7" t="s">
        <v>128</v>
      </c>
      <c r="E10" s="7" t="s">
        <v>45</v>
      </c>
      <c r="F10" s="7" t="s">
        <v>55</v>
      </c>
      <c r="G10" s="7" t="s">
        <v>150</v>
      </c>
      <c r="H10" s="7" t="s">
        <v>5</v>
      </c>
      <c r="I10" s="7" t="s">
        <v>209</v>
      </c>
      <c r="J10" s="45"/>
      <c r="K10" s="45"/>
      <c r="L10" s="45"/>
      <c r="M10" s="574"/>
      <c r="N10" s="574"/>
      <c r="O10" s="574"/>
      <c r="P10" s="574"/>
      <c r="Q10" s="574"/>
      <c r="R10" s="574"/>
      <c r="S10" s="537"/>
      <c r="T10" s="573"/>
      <c r="U10" s="573"/>
      <c r="V10" s="573"/>
      <c r="W10" s="573"/>
      <c r="X10" s="573"/>
      <c r="Y10" s="573"/>
      <c r="Z10" s="573"/>
      <c r="AA10" s="573"/>
      <c r="AB10" s="537"/>
      <c r="AC10" s="574"/>
      <c r="AD10" s="574"/>
      <c r="AE10" s="574"/>
      <c r="AF10" s="574"/>
      <c r="AG10" s="537"/>
      <c r="AH10" s="573"/>
      <c r="AI10" s="573"/>
      <c r="AJ10" s="573"/>
      <c r="AK10" s="573"/>
      <c r="AL10" s="573"/>
      <c r="AM10" s="573"/>
      <c r="AN10" s="573"/>
      <c r="AO10" s="573"/>
      <c r="AP10" s="537"/>
      <c r="AQ10" s="573"/>
      <c r="AR10" s="573"/>
      <c r="AS10" s="573"/>
      <c r="AT10" s="573"/>
      <c r="AU10" s="573"/>
      <c r="AV10" s="573"/>
      <c r="AW10" s="573"/>
      <c r="AX10" s="573"/>
      <c r="AY10" s="573"/>
      <c r="AZ10" s="573"/>
      <c r="BA10" s="573"/>
      <c r="BB10" s="573"/>
      <c r="BC10" s="573"/>
      <c r="BD10" s="573"/>
      <c r="BE10" s="573"/>
      <c r="BF10" s="573"/>
      <c r="BG10" s="573"/>
      <c r="BH10" s="573"/>
      <c r="BI10" s="573"/>
      <c r="BJ10" s="573"/>
      <c r="BK10" s="573"/>
      <c r="BL10" s="573"/>
      <c r="BM10" s="573"/>
      <c r="BN10" s="573"/>
      <c r="BO10" s="573"/>
      <c r="BP10" s="573"/>
      <c r="BQ10" s="573"/>
      <c r="BR10" s="573"/>
      <c r="BS10" s="573"/>
      <c r="BT10" s="573"/>
      <c r="BU10" s="573"/>
      <c r="BV10" s="573"/>
      <c r="BW10" s="573"/>
      <c r="BX10" s="573"/>
      <c r="BY10" s="573"/>
      <c r="BZ10" s="573"/>
      <c r="CA10" s="573"/>
      <c r="CB10" s="573"/>
      <c r="CC10" s="573"/>
      <c r="CD10" s="573"/>
      <c r="CE10" s="573"/>
      <c r="CF10" s="573"/>
      <c r="CG10" s="573"/>
      <c r="CH10" s="573"/>
      <c r="CI10" s="573"/>
      <c r="CJ10" s="573"/>
      <c r="CK10" s="573"/>
      <c r="CL10" s="573"/>
      <c r="CM10" s="537"/>
      <c r="CN10" s="573"/>
      <c r="CO10" s="573"/>
      <c r="CP10" s="573"/>
      <c r="CQ10" s="573"/>
      <c r="CR10" s="573"/>
      <c r="CS10" s="573"/>
      <c r="CT10" s="573"/>
      <c r="CU10" s="573"/>
      <c r="CV10" s="537"/>
      <c r="CW10" s="573"/>
      <c r="CX10" s="573"/>
      <c r="CY10" s="573"/>
      <c r="CZ10" s="573"/>
      <c r="DA10" s="573"/>
      <c r="DB10" s="573"/>
      <c r="DC10" s="573"/>
      <c r="DD10" s="573"/>
      <c r="DE10" s="537"/>
      <c r="DF10" s="573"/>
      <c r="DG10" s="573"/>
      <c r="DH10" s="573"/>
      <c r="DI10" s="573"/>
      <c r="DJ10" s="573"/>
      <c r="DK10" s="573"/>
      <c r="DL10" s="573"/>
      <c r="DM10" s="573"/>
      <c r="DO10" s="39"/>
      <c r="DP10" s="39"/>
      <c r="DQ10" s="39"/>
      <c r="DR10" s="39"/>
      <c r="DS10" s="39"/>
      <c r="DT10" s="39"/>
    </row>
    <row r="11" spans="2:124" x14ac:dyDescent="0.3">
      <c r="B11" s="7"/>
      <c r="C11" s="7"/>
      <c r="D11" s="7"/>
      <c r="E11" s="7"/>
      <c r="F11" s="7"/>
      <c r="G11" s="7"/>
      <c r="H11" s="7"/>
      <c r="I11" s="7"/>
      <c r="J11" s="45"/>
      <c r="K11" s="45"/>
      <c r="L11" s="45"/>
      <c r="M11" s="574"/>
      <c r="N11" s="574"/>
      <c r="O11" s="574"/>
      <c r="P11" s="574"/>
      <c r="Q11" s="574"/>
      <c r="R11" s="574"/>
      <c r="S11" s="537"/>
      <c r="T11" s="573"/>
      <c r="U11" s="573"/>
      <c r="V11" s="573"/>
      <c r="W11" s="573"/>
      <c r="X11" s="573"/>
      <c r="Y11" s="573"/>
      <c r="Z11" s="573"/>
      <c r="AA11" s="573"/>
      <c r="AB11" s="577"/>
      <c r="AC11" s="574"/>
      <c r="AD11" s="574"/>
      <c r="AE11" s="574"/>
      <c r="AF11" s="574"/>
      <c r="AG11" s="537"/>
      <c r="AH11" s="573"/>
      <c r="AI11" s="573"/>
      <c r="AJ11" s="573"/>
      <c r="AK11" s="573"/>
      <c r="AL11" s="573"/>
      <c r="AM11" s="573"/>
      <c r="AN11" s="573"/>
      <c r="AO11" s="573"/>
      <c r="AP11" s="537"/>
      <c r="AQ11" s="573"/>
      <c r="AR11" s="573"/>
      <c r="AS11" s="573"/>
      <c r="AT11" s="573"/>
      <c r="AU11" s="573"/>
      <c r="AV11" s="573"/>
      <c r="AW11" s="573"/>
      <c r="AX11" s="573"/>
      <c r="AY11" s="573"/>
      <c r="AZ11" s="573"/>
      <c r="BA11" s="573"/>
      <c r="BB11" s="573"/>
      <c r="BC11" s="573"/>
      <c r="BD11" s="573"/>
      <c r="BE11" s="573"/>
      <c r="BF11" s="573"/>
      <c r="BG11" s="573"/>
      <c r="BH11" s="573"/>
      <c r="BI11" s="573"/>
      <c r="BJ11" s="573"/>
      <c r="BK11" s="573"/>
      <c r="BL11" s="573"/>
      <c r="BM11" s="573"/>
      <c r="BN11" s="573"/>
      <c r="BO11" s="573"/>
      <c r="BP11" s="573"/>
      <c r="BQ11" s="573"/>
      <c r="BR11" s="573"/>
      <c r="BS11" s="573"/>
      <c r="BT11" s="573"/>
      <c r="BU11" s="573"/>
      <c r="BV11" s="573"/>
      <c r="BW11" s="573"/>
      <c r="BX11" s="573"/>
      <c r="BY11" s="573"/>
      <c r="BZ11" s="573"/>
      <c r="CA11" s="573"/>
      <c r="CB11" s="573"/>
      <c r="CC11" s="573"/>
      <c r="CD11" s="573"/>
      <c r="CE11" s="573"/>
      <c r="CF11" s="573"/>
      <c r="CG11" s="573"/>
      <c r="CH11" s="573"/>
      <c r="CI11" s="573"/>
      <c r="CJ11" s="573"/>
      <c r="CK11" s="573"/>
      <c r="CL11" s="573"/>
      <c r="CM11" s="537"/>
      <c r="CN11" s="573"/>
      <c r="CO11" s="573"/>
      <c r="CP11" s="573"/>
      <c r="CQ11" s="573"/>
      <c r="CR11" s="573"/>
      <c r="CS11" s="573"/>
      <c r="CT11" s="573"/>
      <c r="CU11" s="573"/>
      <c r="CV11" s="537"/>
      <c r="CW11" s="573"/>
      <c r="CX11" s="573"/>
      <c r="CY11" s="573"/>
      <c r="CZ11" s="573"/>
      <c r="DA11" s="573"/>
      <c r="DB11" s="573"/>
      <c r="DC11" s="573"/>
      <c r="DD11" s="573"/>
      <c r="DE11" s="537"/>
      <c r="DF11" s="573"/>
      <c r="DG11" s="573"/>
      <c r="DH11" s="573"/>
      <c r="DI11" s="573"/>
      <c r="DJ11" s="573"/>
      <c r="DK11" s="573"/>
      <c r="DL11" s="573"/>
      <c r="DM11" s="573"/>
      <c r="DO11" s="39"/>
      <c r="DP11" s="39"/>
      <c r="DQ11" s="39"/>
      <c r="DR11" s="39"/>
      <c r="DS11" s="39"/>
      <c r="DT11" s="39"/>
    </row>
    <row r="12" spans="2:124" x14ac:dyDescent="0.3">
      <c r="B12" s="7"/>
      <c r="C12" s="7" t="s">
        <v>120</v>
      </c>
      <c r="D12" s="7" t="s">
        <v>58</v>
      </c>
      <c r="E12" s="7" t="s">
        <v>45</v>
      </c>
      <c r="F12" s="7" t="s">
        <v>55</v>
      </c>
      <c r="G12" s="7" t="s">
        <v>10</v>
      </c>
      <c r="H12" s="7" t="s">
        <v>164</v>
      </c>
      <c r="I12" s="7" t="s">
        <v>251</v>
      </c>
      <c r="J12" s="45"/>
      <c r="K12" s="45"/>
      <c r="L12" s="45"/>
      <c r="M12" s="574"/>
      <c r="N12" s="574"/>
      <c r="O12" s="574"/>
      <c r="P12" s="574"/>
      <c r="Q12" s="574"/>
      <c r="R12" s="574"/>
      <c r="S12" s="537"/>
      <c r="T12" s="573"/>
      <c r="U12" s="573"/>
      <c r="V12" s="573"/>
      <c r="W12" s="573"/>
      <c r="X12" s="573"/>
      <c r="Y12" s="573"/>
      <c r="Z12" s="573"/>
      <c r="AA12" s="573"/>
      <c r="AB12" s="577"/>
      <c r="AC12" s="574"/>
      <c r="AD12" s="574"/>
      <c r="AE12" s="574"/>
      <c r="AF12" s="574"/>
      <c r="AG12" s="537"/>
      <c r="AH12" s="573"/>
      <c r="AI12" s="573"/>
      <c r="AJ12" s="573"/>
      <c r="AK12" s="573"/>
      <c r="AL12" s="573"/>
      <c r="AM12" s="573"/>
      <c r="AN12" s="573"/>
      <c r="AO12" s="573"/>
      <c r="AP12" s="537"/>
      <c r="AQ12" s="573"/>
      <c r="AR12" s="573"/>
      <c r="AS12" s="573"/>
      <c r="AT12" s="573"/>
      <c r="AU12" s="573"/>
      <c r="AV12" s="573"/>
      <c r="AW12" s="573"/>
      <c r="AX12" s="573"/>
      <c r="AY12" s="573"/>
      <c r="AZ12" s="573"/>
      <c r="BA12" s="573"/>
      <c r="BB12" s="573"/>
      <c r="BC12" s="573"/>
      <c r="BD12" s="573"/>
      <c r="BE12" s="573"/>
      <c r="BF12" s="573"/>
      <c r="BG12" s="573"/>
      <c r="BH12" s="573"/>
      <c r="BI12" s="573"/>
      <c r="BJ12" s="573"/>
      <c r="BK12" s="573"/>
      <c r="BL12" s="573"/>
      <c r="BM12" s="573"/>
      <c r="BN12" s="573"/>
      <c r="BO12" s="573"/>
      <c r="BP12" s="573"/>
      <c r="BQ12" s="573"/>
      <c r="BR12" s="573"/>
      <c r="BS12" s="573"/>
      <c r="BT12" s="573"/>
      <c r="BU12" s="573"/>
      <c r="BV12" s="573"/>
      <c r="BW12" s="573"/>
      <c r="BX12" s="573"/>
      <c r="BY12" s="573"/>
      <c r="BZ12" s="573"/>
      <c r="CA12" s="573"/>
      <c r="CB12" s="573"/>
      <c r="CC12" s="573"/>
      <c r="CD12" s="573"/>
      <c r="CE12" s="573"/>
      <c r="CF12" s="573"/>
      <c r="CG12" s="573"/>
      <c r="CH12" s="573"/>
      <c r="CI12" s="573"/>
      <c r="CJ12" s="573"/>
      <c r="CK12" s="573"/>
      <c r="CL12" s="573"/>
      <c r="CM12" s="537"/>
      <c r="CN12" s="573"/>
      <c r="CO12" s="573"/>
      <c r="CP12" s="573"/>
      <c r="CQ12" s="573"/>
      <c r="CR12" s="573"/>
      <c r="CS12" s="573"/>
      <c r="CT12" s="573"/>
      <c r="CU12" s="573"/>
      <c r="CV12" s="537"/>
      <c r="CW12" s="573"/>
      <c r="CX12" s="573"/>
      <c r="CY12" s="573"/>
      <c r="CZ12" s="573"/>
      <c r="DA12" s="573"/>
      <c r="DB12" s="573"/>
      <c r="DC12" s="573"/>
      <c r="DD12" s="573"/>
      <c r="DE12" s="537"/>
      <c r="DF12" s="573"/>
      <c r="DG12" s="573"/>
      <c r="DH12" s="573"/>
      <c r="DI12" s="573"/>
      <c r="DJ12" s="573"/>
      <c r="DK12" s="573"/>
      <c r="DL12" s="573"/>
      <c r="DM12" s="573"/>
      <c r="DO12" s="39"/>
      <c r="DP12" s="39"/>
      <c r="DQ12" s="39"/>
      <c r="DR12" s="39"/>
      <c r="DS12" s="39"/>
      <c r="DT12" s="39"/>
    </row>
    <row r="13" spans="2:124" x14ac:dyDescent="0.3">
      <c r="B13" s="7"/>
      <c r="C13" s="7" t="s">
        <v>121</v>
      </c>
      <c r="D13" s="7" t="s">
        <v>58</v>
      </c>
      <c r="E13" s="7" t="s">
        <v>45</v>
      </c>
      <c r="F13" s="7" t="s">
        <v>55</v>
      </c>
      <c r="G13" s="7" t="s">
        <v>10</v>
      </c>
      <c r="H13" s="7" t="s">
        <v>164</v>
      </c>
      <c r="I13" s="7" t="s">
        <v>238</v>
      </c>
      <c r="J13" s="45"/>
      <c r="K13" s="45"/>
      <c r="L13" s="45"/>
      <c r="M13" s="574"/>
      <c r="N13" s="574"/>
      <c r="O13" s="574"/>
      <c r="P13" s="574"/>
      <c r="Q13" s="574"/>
      <c r="R13" s="574"/>
      <c r="S13" s="537"/>
      <c r="T13" s="573"/>
      <c r="U13" s="573"/>
      <c r="V13" s="573"/>
      <c r="W13" s="573"/>
      <c r="X13" s="573"/>
      <c r="Y13" s="573"/>
      <c r="Z13" s="573"/>
      <c r="AA13" s="573"/>
      <c r="AB13" s="577"/>
      <c r="AC13" s="574"/>
      <c r="AD13" s="574"/>
      <c r="AE13" s="574"/>
      <c r="AF13" s="574"/>
      <c r="AG13" s="537"/>
      <c r="AH13" s="573"/>
      <c r="AI13" s="573"/>
      <c r="AJ13" s="573"/>
      <c r="AK13" s="573"/>
      <c r="AL13" s="573"/>
      <c r="AM13" s="573"/>
      <c r="AN13" s="573"/>
      <c r="AO13" s="573"/>
      <c r="AP13" s="537"/>
      <c r="AQ13" s="573"/>
      <c r="AR13" s="573"/>
      <c r="AS13" s="573"/>
      <c r="AT13" s="573"/>
      <c r="AU13" s="573"/>
      <c r="AV13" s="573"/>
      <c r="AW13" s="573"/>
      <c r="AX13" s="573"/>
      <c r="AY13" s="573"/>
      <c r="AZ13" s="573"/>
      <c r="BA13" s="573"/>
      <c r="BB13" s="573"/>
      <c r="BC13" s="573"/>
      <c r="BD13" s="573"/>
      <c r="BE13" s="573"/>
      <c r="BF13" s="573"/>
      <c r="BG13" s="573"/>
      <c r="BH13" s="573"/>
      <c r="BI13" s="573"/>
      <c r="BJ13" s="573"/>
      <c r="BK13" s="573"/>
      <c r="BL13" s="573"/>
      <c r="BM13" s="573"/>
      <c r="BN13" s="573"/>
      <c r="BO13" s="573"/>
      <c r="BP13" s="573"/>
      <c r="BQ13" s="573"/>
      <c r="BR13" s="573"/>
      <c r="BS13" s="573"/>
      <c r="BT13" s="573"/>
      <c r="BU13" s="573"/>
      <c r="BV13" s="573"/>
      <c r="BW13" s="573"/>
      <c r="BX13" s="573"/>
      <c r="BY13" s="573"/>
      <c r="BZ13" s="573"/>
      <c r="CA13" s="573"/>
      <c r="CB13" s="573"/>
      <c r="CC13" s="573"/>
      <c r="CD13" s="573"/>
      <c r="CE13" s="573"/>
      <c r="CF13" s="573"/>
      <c r="CG13" s="573"/>
      <c r="CH13" s="573"/>
      <c r="CI13" s="573"/>
      <c r="CJ13" s="573"/>
      <c r="CK13" s="573"/>
      <c r="CL13" s="573"/>
      <c r="CM13" s="537"/>
      <c r="CN13" s="573"/>
      <c r="CO13" s="573"/>
      <c r="CP13" s="573"/>
      <c r="CQ13" s="573"/>
      <c r="CR13" s="573"/>
      <c r="CS13" s="573"/>
      <c r="CT13" s="573"/>
      <c r="CU13" s="573"/>
      <c r="CV13" s="537"/>
      <c r="CW13" s="573"/>
      <c r="CX13" s="573"/>
      <c r="CY13" s="573"/>
      <c r="CZ13" s="573"/>
      <c r="DA13" s="573"/>
      <c r="DB13" s="573"/>
      <c r="DC13" s="573"/>
      <c r="DD13" s="573"/>
      <c r="DE13" s="537"/>
      <c r="DF13" s="573"/>
      <c r="DG13" s="573"/>
      <c r="DH13" s="573"/>
      <c r="DI13" s="573"/>
      <c r="DJ13" s="573"/>
      <c r="DK13" s="573"/>
      <c r="DL13" s="573"/>
      <c r="DM13" s="573"/>
      <c r="DO13" s="39"/>
      <c r="DP13" s="39"/>
      <c r="DQ13" s="39"/>
      <c r="DR13" s="39"/>
      <c r="DS13" s="39"/>
      <c r="DT13" s="39"/>
    </row>
    <row r="14" spans="2:124" x14ac:dyDescent="0.3">
      <c r="B14" s="7"/>
      <c r="C14" s="7" t="s">
        <v>122</v>
      </c>
      <c r="D14" s="7" t="s">
        <v>58</v>
      </c>
      <c r="E14" s="7" t="s">
        <v>45</v>
      </c>
      <c r="F14" s="7" t="s">
        <v>55</v>
      </c>
      <c r="G14" s="7" t="s">
        <v>150</v>
      </c>
      <c r="H14" s="7" t="s">
        <v>5</v>
      </c>
      <c r="I14" s="7" t="s">
        <v>202</v>
      </c>
      <c r="J14" s="45"/>
      <c r="K14" s="45"/>
      <c r="L14" s="45"/>
      <c r="M14" s="574"/>
      <c r="N14" s="574"/>
      <c r="O14" s="574"/>
      <c r="P14" s="574"/>
      <c r="Q14" s="574"/>
      <c r="R14" s="574"/>
      <c r="S14" s="537"/>
      <c r="T14" s="573"/>
      <c r="U14" s="573"/>
      <c r="V14" s="573"/>
      <c r="W14" s="573"/>
      <c r="X14" s="573"/>
      <c r="Y14" s="573"/>
      <c r="Z14" s="573"/>
      <c r="AA14" s="573"/>
      <c r="AB14" s="577"/>
      <c r="AC14" s="574"/>
      <c r="AD14" s="574"/>
      <c r="AE14" s="574"/>
      <c r="AF14" s="574"/>
      <c r="AG14" s="537"/>
      <c r="AH14" s="573"/>
      <c r="AI14" s="573"/>
      <c r="AJ14" s="573"/>
      <c r="AK14" s="573"/>
      <c r="AL14" s="573"/>
      <c r="AM14" s="573"/>
      <c r="AN14" s="573"/>
      <c r="AO14" s="573"/>
      <c r="AP14" s="537"/>
      <c r="AQ14" s="573"/>
      <c r="AR14" s="573"/>
      <c r="AS14" s="573"/>
      <c r="AT14" s="573"/>
      <c r="AU14" s="573"/>
      <c r="AV14" s="573"/>
      <c r="AW14" s="573"/>
      <c r="AX14" s="573"/>
      <c r="AY14" s="573"/>
      <c r="AZ14" s="573"/>
      <c r="BA14" s="573"/>
      <c r="BB14" s="573"/>
      <c r="BC14" s="573"/>
      <c r="BD14" s="573"/>
      <c r="BE14" s="573"/>
      <c r="BF14" s="573"/>
      <c r="BG14" s="573"/>
      <c r="BH14" s="573"/>
      <c r="BI14" s="573"/>
      <c r="BJ14" s="573"/>
      <c r="BK14" s="573"/>
      <c r="BL14" s="573"/>
      <c r="BM14" s="573"/>
      <c r="BN14" s="573"/>
      <c r="BO14" s="573"/>
      <c r="BP14" s="573"/>
      <c r="BQ14" s="573"/>
      <c r="BR14" s="573"/>
      <c r="BS14" s="573"/>
      <c r="BT14" s="573"/>
      <c r="BU14" s="573"/>
      <c r="BV14" s="573"/>
      <c r="BW14" s="573"/>
      <c r="BX14" s="573"/>
      <c r="BY14" s="573"/>
      <c r="BZ14" s="573"/>
      <c r="CA14" s="573"/>
      <c r="CB14" s="573"/>
      <c r="CC14" s="573"/>
      <c r="CD14" s="573"/>
      <c r="CE14" s="573"/>
      <c r="CF14" s="573"/>
      <c r="CG14" s="573"/>
      <c r="CH14" s="573"/>
      <c r="CI14" s="573"/>
      <c r="CJ14" s="573"/>
      <c r="CK14" s="573"/>
      <c r="CL14" s="573"/>
      <c r="CM14" s="537"/>
      <c r="CN14" s="573"/>
      <c r="CO14" s="573"/>
      <c r="CP14" s="573"/>
      <c r="CQ14" s="573"/>
      <c r="CR14" s="573"/>
      <c r="CS14" s="573"/>
      <c r="CT14" s="573"/>
      <c r="CU14" s="573"/>
      <c r="CV14" s="537"/>
      <c r="CW14" s="573"/>
      <c r="CX14" s="573"/>
      <c r="CY14" s="573"/>
      <c r="CZ14" s="573"/>
      <c r="DA14" s="573"/>
      <c r="DB14" s="573"/>
      <c r="DC14" s="573"/>
      <c r="DD14" s="573"/>
      <c r="DE14" s="537"/>
      <c r="DF14" s="573"/>
      <c r="DG14" s="573"/>
      <c r="DH14" s="573"/>
      <c r="DI14" s="573"/>
      <c r="DJ14" s="573"/>
      <c r="DK14" s="573"/>
      <c r="DL14" s="573"/>
      <c r="DM14" s="573"/>
      <c r="DO14" s="39"/>
      <c r="DP14" s="39"/>
      <c r="DQ14" s="39"/>
      <c r="DR14" s="39"/>
      <c r="DS14" s="39"/>
      <c r="DT14" s="39"/>
    </row>
    <row r="15" spans="2:124" x14ac:dyDescent="0.3">
      <c r="B15" s="7"/>
      <c r="C15" s="7" t="s">
        <v>350</v>
      </c>
      <c r="D15" s="7" t="s">
        <v>58</v>
      </c>
      <c r="E15" s="7" t="s">
        <v>45</v>
      </c>
      <c r="F15" s="7" t="s">
        <v>55</v>
      </c>
      <c r="G15" s="7" t="s">
        <v>150</v>
      </c>
      <c r="H15" s="7" t="s">
        <v>102</v>
      </c>
      <c r="I15" s="7" t="s">
        <v>190</v>
      </c>
      <c r="J15" s="45"/>
      <c r="K15" s="45"/>
      <c r="L15" s="45"/>
      <c r="M15" s="574"/>
      <c r="N15" s="574"/>
      <c r="O15" s="574"/>
      <c r="P15" s="574"/>
      <c r="Q15" s="574"/>
      <c r="R15" s="574"/>
      <c r="S15" s="537"/>
      <c r="T15" s="573"/>
      <c r="U15" s="573"/>
      <c r="V15" s="573"/>
      <c r="W15" s="573"/>
      <c r="X15" s="573"/>
      <c r="Y15" s="573"/>
      <c r="Z15" s="573"/>
      <c r="AA15" s="573"/>
      <c r="AB15" s="577"/>
      <c r="AC15" s="574"/>
      <c r="AD15" s="574"/>
      <c r="AE15" s="574"/>
      <c r="AF15" s="574"/>
      <c r="AG15" s="537"/>
      <c r="AH15" s="573"/>
      <c r="AI15" s="573"/>
      <c r="AJ15" s="573"/>
      <c r="AK15" s="573"/>
      <c r="AL15" s="573"/>
      <c r="AM15" s="573"/>
      <c r="AN15" s="573"/>
      <c r="AO15" s="573"/>
      <c r="AP15" s="537"/>
      <c r="AQ15" s="573"/>
      <c r="AR15" s="573"/>
      <c r="AS15" s="573"/>
      <c r="AT15" s="573"/>
      <c r="AU15" s="573"/>
      <c r="AV15" s="573"/>
      <c r="AW15" s="573"/>
      <c r="AX15" s="573"/>
      <c r="AY15" s="573"/>
      <c r="AZ15" s="573"/>
      <c r="BA15" s="573"/>
      <c r="BB15" s="573"/>
      <c r="BC15" s="573"/>
      <c r="BD15" s="573"/>
      <c r="BE15" s="573"/>
      <c r="BF15" s="573"/>
      <c r="BG15" s="573"/>
      <c r="BH15" s="573"/>
      <c r="BI15" s="573"/>
      <c r="BJ15" s="573"/>
      <c r="BK15" s="573"/>
      <c r="BL15" s="573"/>
      <c r="BM15" s="573"/>
      <c r="BN15" s="573"/>
      <c r="BO15" s="573"/>
      <c r="BP15" s="573"/>
      <c r="BQ15" s="573"/>
      <c r="BR15" s="573"/>
      <c r="BS15" s="573"/>
      <c r="BT15" s="573"/>
      <c r="BU15" s="573"/>
      <c r="BV15" s="573"/>
      <c r="BW15" s="573"/>
      <c r="BX15" s="573"/>
      <c r="BY15" s="573"/>
      <c r="BZ15" s="573"/>
      <c r="CA15" s="573"/>
      <c r="CB15" s="573"/>
      <c r="CC15" s="573"/>
      <c r="CD15" s="573"/>
      <c r="CE15" s="573"/>
      <c r="CF15" s="573"/>
      <c r="CG15" s="573"/>
      <c r="CH15" s="573"/>
      <c r="CI15" s="573"/>
      <c r="CJ15" s="573"/>
      <c r="CK15" s="573"/>
      <c r="CL15" s="573"/>
      <c r="CM15" s="537"/>
      <c r="CN15" s="573"/>
      <c r="CO15" s="573"/>
      <c r="CP15" s="573"/>
      <c r="CQ15" s="573"/>
      <c r="CR15" s="573"/>
      <c r="CS15" s="573"/>
      <c r="CT15" s="573"/>
      <c r="CU15" s="573"/>
      <c r="CV15" s="537"/>
      <c r="CW15" s="573"/>
      <c r="CX15" s="573"/>
      <c r="CY15" s="573"/>
      <c r="CZ15" s="573"/>
      <c r="DA15" s="573"/>
      <c r="DB15" s="573"/>
      <c r="DC15" s="573"/>
      <c r="DD15" s="573"/>
      <c r="DE15" s="537"/>
      <c r="DF15" s="573"/>
      <c r="DG15" s="573"/>
      <c r="DH15" s="573"/>
      <c r="DI15" s="573"/>
      <c r="DJ15" s="573"/>
      <c r="DK15" s="573"/>
      <c r="DL15" s="573"/>
      <c r="DM15" s="573"/>
      <c r="DO15" s="39"/>
      <c r="DP15" s="39"/>
      <c r="DQ15" s="39"/>
      <c r="DR15" s="39"/>
      <c r="DS15" s="39"/>
      <c r="DT15" s="39"/>
    </row>
    <row r="16" spans="2:124" x14ac:dyDescent="0.3">
      <c r="B16" s="7"/>
      <c r="C16" s="7" t="s">
        <v>123</v>
      </c>
      <c r="D16" s="7" t="s">
        <v>58</v>
      </c>
      <c r="E16" s="7" t="s">
        <v>45</v>
      </c>
      <c r="F16" s="7" t="s">
        <v>55</v>
      </c>
      <c r="G16" s="7" t="s">
        <v>150</v>
      </c>
      <c r="H16" s="7" t="s">
        <v>102</v>
      </c>
      <c r="I16" s="7" t="s">
        <v>190</v>
      </c>
      <c r="J16" s="45"/>
      <c r="K16" s="45"/>
      <c r="L16" s="45"/>
      <c r="M16" s="574"/>
      <c r="N16" s="574"/>
      <c r="O16" s="574"/>
      <c r="P16" s="574"/>
      <c r="Q16" s="574"/>
      <c r="R16" s="574"/>
      <c r="S16" s="537"/>
      <c r="T16" s="573"/>
      <c r="U16" s="573"/>
      <c r="V16" s="573"/>
      <c r="W16" s="573"/>
      <c r="X16" s="573"/>
      <c r="Y16" s="573"/>
      <c r="Z16" s="573"/>
      <c r="AA16" s="573"/>
      <c r="AB16" s="537"/>
      <c r="AC16" s="574"/>
      <c r="AD16" s="574"/>
      <c r="AE16" s="574"/>
      <c r="AF16" s="574"/>
      <c r="AG16" s="537"/>
      <c r="AH16" s="573"/>
      <c r="AI16" s="573"/>
      <c r="AJ16" s="573"/>
      <c r="AK16" s="573"/>
      <c r="AL16" s="573"/>
      <c r="AM16" s="573"/>
      <c r="AN16" s="573"/>
      <c r="AO16" s="573"/>
      <c r="AP16" s="537"/>
      <c r="AQ16" s="573"/>
      <c r="AR16" s="573"/>
      <c r="AS16" s="573"/>
      <c r="AT16" s="573"/>
      <c r="AU16" s="573"/>
      <c r="AV16" s="573"/>
      <c r="AW16" s="573"/>
      <c r="AX16" s="573"/>
      <c r="AY16" s="573"/>
      <c r="AZ16" s="573"/>
      <c r="BA16" s="573"/>
      <c r="BB16" s="573"/>
      <c r="BC16" s="573"/>
      <c r="BD16" s="573"/>
      <c r="BE16" s="573"/>
      <c r="BF16" s="573"/>
      <c r="BG16" s="573"/>
      <c r="BH16" s="573"/>
      <c r="BI16" s="573"/>
      <c r="BJ16" s="573"/>
      <c r="BK16" s="573"/>
      <c r="BL16" s="573"/>
      <c r="BM16" s="573"/>
      <c r="BN16" s="573"/>
      <c r="BO16" s="573"/>
      <c r="BP16" s="573"/>
      <c r="BQ16" s="573"/>
      <c r="BR16" s="573"/>
      <c r="BS16" s="573"/>
      <c r="BT16" s="573"/>
      <c r="BU16" s="573"/>
      <c r="BV16" s="573"/>
      <c r="BW16" s="573"/>
      <c r="BX16" s="573"/>
      <c r="BY16" s="573"/>
      <c r="BZ16" s="573"/>
      <c r="CA16" s="573"/>
      <c r="CB16" s="573"/>
      <c r="CC16" s="573"/>
      <c r="CD16" s="573"/>
      <c r="CE16" s="573"/>
      <c r="CF16" s="573"/>
      <c r="CG16" s="573"/>
      <c r="CH16" s="573"/>
      <c r="CI16" s="573"/>
      <c r="CJ16" s="573"/>
      <c r="CK16" s="573"/>
      <c r="CL16" s="573"/>
      <c r="CM16" s="537"/>
      <c r="CN16" s="573"/>
      <c r="CO16" s="573"/>
      <c r="CP16" s="573"/>
      <c r="CQ16" s="573"/>
      <c r="CR16" s="573"/>
      <c r="CS16" s="573"/>
      <c r="CT16" s="573"/>
      <c r="CU16" s="573"/>
      <c r="CV16" s="537"/>
      <c r="CW16" s="573"/>
      <c r="CX16" s="573"/>
      <c r="CY16" s="573"/>
      <c r="CZ16" s="573"/>
      <c r="DA16" s="573"/>
      <c r="DB16" s="573"/>
      <c r="DC16" s="573"/>
      <c r="DD16" s="573"/>
      <c r="DE16" s="537"/>
      <c r="DF16" s="573"/>
      <c r="DG16" s="573"/>
      <c r="DH16" s="573"/>
      <c r="DI16" s="573"/>
      <c r="DJ16" s="573"/>
      <c r="DK16" s="573"/>
      <c r="DL16" s="573"/>
      <c r="DM16" s="573"/>
      <c r="DO16" s="39"/>
      <c r="DP16" s="39"/>
      <c r="DQ16" s="39"/>
      <c r="DR16" s="39"/>
      <c r="DS16" s="39"/>
      <c r="DT16" s="39"/>
    </row>
    <row r="17" spans="2:124" x14ac:dyDescent="0.3">
      <c r="B17" s="7"/>
      <c r="C17" s="7" t="s">
        <v>124</v>
      </c>
      <c r="D17" s="7" t="s">
        <v>58</v>
      </c>
      <c r="E17" s="7" t="s">
        <v>45</v>
      </c>
      <c r="F17" s="7" t="s">
        <v>55</v>
      </c>
      <c r="G17" s="7" t="s">
        <v>10</v>
      </c>
      <c r="H17" s="7" t="s">
        <v>164</v>
      </c>
      <c r="I17" s="7" t="s">
        <v>246</v>
      </c>
      <c r="J17" s="45"/>
      <c r="K17" s="45"/>
      <c r="L17" s="45"/>
      <c r="M17" s="574"/>
      <c r="N17" s="574"/>
      <c r="O17" s="574"/>
      <c r="P17" s="574"/>
      <c r="Q17" s="574"/>
      <c r="R17" s="574"/>
      <c r="S17" s="537"/>
      <c r="T17" s="573"/>
      <c r="U17" s="573"/>
      <c r="V17" s="573"/>
      <c r="W17" s="573"/>
      <c r="X17" s="573"/>
      <c r="Y17" s="573"/>
      <c r="Z17" s="573"/>
      <c r="AA17" s="573"/>
      <c r="AB17" s="537"/>
      <c r="AC17" s="574"/>
      <c r="AD17" s="574"/>
      <c r="AE17" s="574"/>
      <c r="AF17" s="574"/>
      <c r="AG17" s="537"/>
      <c r="AH17" s="573"/>
      <c r="AI17" s="573"/>
      <c r="AJ17" s="573"/>
      <c r="AK17" s="573"/>
      <c r="AL17" s="573"/>
      <c r="AM17" s="573"/>
      <c r="AN17" s="573"/>
      <c r="AO17" s="573"/>
      <c r="AP17" s="537"/>
      <c r="AQ17" s="573"/>
      <c r="AR17" s="573"/>
      <c r="AS17" s="573"/>
      <c r="AT17" s="573"/>
      <c r="AU17" s="573"/>
      <c r="AV17" s="573"/>
      <c r="AW17" s="573"/>
      <c r="AX17" s="573"/>
      <c r="AY17" s="573"/>
      <c r="AZ17" s="573"/>
      <c r="BA17" s="573"/>
      <c r="BB17" s="573"/>
      <c r="BC17" s="573"/>
      <c r="BD17" s="573"/>
      <c r="BE17" s="573"/>
      <c r="BF17" s="573"/>
      <c r="BG17" s="573"/>
      <c r="BH17" s="573"/>
      <c r="BI17" s="573"/>
      <c r="BJ17" s="573"/>
      <c r="BK17" s="573"/>
      <c r="BL17" s="573"/>
      <c r="BM17" s="573"/>
      <c r="BN17" s="573"/>
      <c r="BO17" s="573"/>
      <c r="BP17" s="573"/>
      <c r="BQ17" s="573"/>
      <c r="BR17" s="573"/>
      <c r="BS17" s="573"/>
      <c r="BT17" s="573"/>
      <c r="BU17" s="573"/>
      <c r="BV17" s="573"/>
      <c r="BW17" s="573"/>
      <c r="BX17" s="573"/>
      <c r="BY17" s="573"/>
      <c r="BZ17" s="573"/>
      <c r="CA17" s="573"/>
      <c r="CB17" s="573"/>
      <c r="CC17" s="573"/>
      <c r="CD17" s="573"/>
      <c r="CE17" s="573"/>
      <c r="CF17" s="573"/>
      <c r="CG17" s="573"/>
      <c r="CH17" s="573"/>
      <c r="CI17" s="573"/>
      <c r="CJ17" s="573"/>
      <c r="CK17" s="573"/>
      <c r="CL17" s="573"/>
      <c r="CM17" s="537"/>
      <c r="CN17" s="573"/>
      <c r="CO17" s="573"/>
      <c r="CP17" s="573"/>
      <c r="CQ17" s="573"/>
      <c r="CR17" s="573"/>
      <c r="CS17" s="573"/>
      <c r="CT17" s="573"/>
      <c r="CU17" s="573"/>
      <c r="CV17" s="537"/>
      <c r="CW17" s="573"/>
      <c r="CX17" s="573"/>
      <c r="CY17" s="573"/>
      <c r="CZ17" s="573"/>
      <c r="DA17" s="573"/>
      <c r="DB17" s="573"/>
      <c r="DC17" s="573"/>
      <c r="DD17" s="573"/>
      <c r="DE17" s="537"/>
      <c r="DF17" s="573"/>
      <c r="DG17" s="573"/>
      <c r="DH17" s="573"/>
      <c r="DI17" s="573"/>
      <c r="DJ17" s="573"/>
      <c r="DK17" s="573"/>
      <c r="DL17" s="573"/>
      <c r="DM17" s="573"/>
      <c r="DO17" s="39"/>
      <c r="DP17" s="39"/>
      <c r="DQ17" s="39"/>
      <c r="DR17" s="39"/>
      <c r="DS17" s="39"/>
      <c r="DT17" s="39"/>
    </row>
    <row r="18" spans="2:124" x14ac:dyDescent="0.3">
      <c r="B18" s="7"/>
      <c r="C18" s="7" t="s">
        <v>125</v>
      </c>
      <c r="D18" s="7" t="s">
        <v>58</v>
      </c>
      <c r="E18" s="7" t="s">
        <v>44</v>
      </c>
      <c r="F18" s="7" t="s">
        <v>55</v>
      </c>
      <c r="G18" s="7" t="s">
        <v>10</v>
      </c>
      <c r="H18" s="7" t="s">
        <v>153</v>
      </c>
      <c r="I18" s="7" t="s">
        <v>252</v>
      </c>
      <c r="J18" s="45"/>
      <c r="K18" s="45"/>
      <c r="L18" s="45"/>
      <c r="M18" s="573"/>
      <c r="N18" s="573"/>
      <c r="O18" s="573"/>
      <c r="P18" s="573"/>
      <c r="Q18" s="573"/>
      <c r="R18" s="574"/>
      <c r="S18" s="537"/>
      <c r="T18" s="573"/>
      <c r="U18" s="573"/>
      <c r="V18" s="573"/>
      <c r="W18" s="573"/>
      <c r="X18" s="573"/>
      <c r="Y18" s="573"/>
      <c r="Z18" s="573"/>
      <c r="AA18" s="573"/>
      <c r="AB18" s="537"/>
      <c r="AC18" s="574"/>
      <c r="AD18" s="574"/>
      <c r="AE18" s="574"/>
      <c r="AF18" s="574"/>
      <c r="AG18" s="537"/>
      <c r="AH18" s="573"/>
      <c r="AI18" s="573"/>
      <c r="AJ18" s="573"/>
      <c r="AK18" s="573"/>
      <c r="AL18" s="573"/>
      <c r="AM18" s="573"/>
      <c r="AN18" s="573"/>
      <c r="AO18" s="573"/>
      <c r="AP18" s="537"/>
      <c r="AQ18" s="573"/>
      <c r="AR18" s="573"/>
      <c r="AS18" s="573"/>
      <c r="AT18" s="573"/>
      <c r="AU18" s="573"/>
      <c r="AV18" s="573"/>
      <c r="AW18" s="573"/>
      <c r="AX18" s="573"/>
      <c r="AY18" s="573"/>
      <c r="AZ18" s="573"/>
      <c r="BA18" s="573"/>
      <c r="BB18" s="573"/>
      <c r="BC18" s="573"/>
      <c r="BD18" s="573"/>
      <c r="BE18" s="573"/>
      <c r="BF18" s="573"/>
      <c r="BG18" s="573"/>
      <c r="BH18" s="573"/>
      <c r="BI18" s="573"/>
      <c r="BJ18" s="573"/>
      <c r="BK18" s="573"/>
      <c r="BL18" s="573"/>
      <c r="BM18" s="573"/>
      <c r="BN18" s="573"/>
      <c r="BO18" s="573"/>
      <c r="BP18" s="573"/>
      <c r="BQ18" s="573"/>
      <c r="BR18" s="573"/>
      <c r="BS18" s="573"/>
      <c r="BT18" s="573"/>
      <c r="BU18" s="573"/>
      <c r="BV18" s="573"/>
      <c r="BW18" s="573"/>
      <c r="BX18" s="573"/>
      <c r="BY18" s="573"/>
      <c r="BZ18" s="573"/>
      <c r="CA18" s="573"/>
      <c r="CB18" s="573"/>
      <c r="CC18" s="573"/>
      <c r="CD18" s="573"/>
      <c r="CE18" s="573"/>
      <c r="CF18" s="573"/>
      <c r="CG18" s="573"/>
      <c r="CH18" s="573"/>
      <c r="CI18" s="573"/>
      <c r="CJ18" s="573"/>
      <c r="CK18" s="573"/>
      <c r="CL18" s="573"/>
      <c r="CM18" s="537"/>
      <c r="CN18" s="573"/>
      <c r="CO18" s="573"/>
      <c r="CP18" s="573"/>
      <c r="CQ18" s="573"/>
      <c r="CR18" s="573"/>
      <c r="CS18" s="573"/>
      <c r="CT18" s="573"/>
      <c r="CU18" s="573"/>
      <c r="CV18" s="537"/>
      <c r="CW18" s="573"/>
      <c r="CX18" s="573"/>
      <c r="CY18" s="573"/>
      <c r="CZ18" s="573"/>
      <c r="DA18" s="573"/>
      <c r="DB18" s="573"/>
      <c r="DC18" s="573"/>
      <c r="DD18" s="573"/>
      <c r="DE18" s="537"/>
      <c r="DF18" s="573"/>
      <c r="DG18" s="573"/>
      <c r="DH18" s="573"/>
      <c r="DI18" s="573"/>
      <c r="DJ18" s="573"/>
      <c r="DK18" s="573"/>
      <c r="DL18" s="573"/>
      <c r="DM18" s="573"/>
      <c r="DO18" s="39"/>
      <c r="DP18" s="39"/>
      <c r="DQ18" s="39"/>
      <c r="DR18" s="39"/>
      <c r="DS18" s="39"/>
      <c r="DT18" s="39"/>
    </row>
    <row r="19" spans="2:124" x14ac:dyDescent="0.3">
      <c r="B19" s="7"/>
      <c r="C19" s="7" t="s">
        <v>126</v>
      </c>
      <c r="D19" s="7" t="s">
        <v>58</v>
      </c>
      <c r="E19" s="7" t="s">
        <v>45</v>
      </c>
      <c r="F19" s="7" t="s">
        <v>55</v>
      </c>
      <c r="G19" s="7" t="s">
        <v>150</v>
      </c>
      <c r="H19" s="7" t="s">
        <v>160</v>
      </c>
      <c r="I19" s="7" t="s">
        <v>187</v>
      </c>
      <c r="J19" s="45"/>
      <c r="K19" s="45"/>
      <c r="L19" s="45"/>
      <c r="M19" s="573"/>
      <c r="N19" s="573"/>
      <c r="O19" s="573"/>
      <c r="P19" s="573"/>
      <c r="Q19" s="573"/>
      <c r="R19" s="574"/>
      <c r="S19" s="537"/>
      <c r="T19" s="573"/>
      <c r="U19" s="573"/>
      <c r="V19" s="573"/>
      <c r="W19" s="573"/>
      <c r="X19" s="573"/>
      <c r="Y19" s="573"/>
      <c r="Z19" s="573"/>
      <c r="AA19" s="573"/>
      <c r="AB19" s="537"/>
      <c r="AC19" s="574"/>
      <c r="AD19" s="574"/>
      <c r="AE19" s="574"/>
      <c r="AF19" s="574"/>
      <c r="AG19" s="537"/>
      <c r="AH19" s="573"/>
      <c r="AI19" s="573"/>
      <c r="AJ19" s="573"/>
      <c r="AK19" s="573"/>
      <c r="AL19" s="573"/>
      <c r="AM19" s="573"/>
      <c r="AN19" s="573"/>
      <c r="AO19" s="573"/>
      <c r="AP19" s="537"/>
      <c r="AQ19" s="573"/>
      <c r="AR19" s="573"/>
      <c r="AS19" s="573"/>
      <c r="AT19" s="573"/>
      <c r="AU19" s="573"/>
      <c r="AV19" s="573"/>
      <c r="AW19" s="573"/>
      <c r="AX19" s="573"/>
      <c r="AY19" s="573"/>
      <c r="AZ19" s="573"/>
      <c r="BA19" s="573"/>
      <c r="BB19" s="573"/>
      <c r="BC19" s="573"/>
      <c r="BD19" s="573"/>
      <c r="BE19" s="573"/>
      <c r="BF19" s="573"/>
      <c r="BG19" s="573"/>
      <c r="BH19" s="573"/>
      <c r="BI19" s="573"/>
      <c r="BJ19" s="573"/>
      <c r="BK19" s="573"/>
      <c r="BL19" s="573"/>
      <c r="BM19" s="573"/>
      <c r="BN19" s="573"/>
      <c r="BO19" s="573"/>
      <c r="BP19" s="573"/>
      <c r="BQ19" s="573"/>
      <c r="BR19" s="573"/>
      <c r="BS19" s="573"/>
      <c r="BT19" s="573"/>
      <c r="BU19" s="573"/>
      <c r="BV19" s="573"/>
      <c r="BW19" s="573"/>
      <c r="BX19" s="573"/>
      <c r="BY19" s="573"/>
      <c r="BZ19" s="573"/>
      <c r="CA19" s="573"/>
      <c r="CB19" s="573"/>
      <c r="CC19" s="573"/>
      <c r="CD19" s="573"/>
      <c r="CE19" s="573"/>
      <c r="CF19" s="573"/>
      <c r="CG19" s="573"/>
      <c r="CH19" s="573"/>
      <c r="CI19" s="573"/>
      <c r="CJ19" s="573"/>
      <c r="CK19" s="573"/>
      <c r="CL19" s="573"/>
      <c r="CM19" s="537"/>
      <c r="CN19" s="573"/>
      <c r="CO19" s="573"/>
      <c r="CP19" s="573"/>
      <c r="CQ19" s="573"/>
      <c r="CR19" s="573"/>
      <c r="CS19" s="573"/>
      <c r="CT19" s="573"/>
      <c r="CU19" s="573"/>
      <c r="CV19" s="537"/>
      <c r="CW19" s="573"/>
      <c r="CX19" s="573"/>
      <c r="CY19" s="573"/>
      <c r="CZ19" s="573"/>
      <c r="DA19" s="573"/>
      <c r="DB19" s="573"/>
      <c r="DC19" s="573"/>
      <c r="DD19" s="573"/>
      <c r="DE19" s="537"/>
      <c r="DF19" s="573"/>
      <c r="DG19" s="573"/>
      <c r="DH19" s="573"/>
      <c r="DI19" s="573"/>
      <c r="DJ19" s="573"/>
      <c r="DK19" s="573"/>
      <c r="DL19" s="573"/>
      <c r="DM19" s="573"/>
      <c r="DO19" s="39"/>
      <c r="DP19" s="39"/>
      <c r="DQ19" s="39"/>
      <c r="DR19" s="39"/>
      <c r="DS19" s="39"/>
      <c r="DT19" s="39"/>
    </row>
    <row r="20" spans="2:124" x14ac:dyDescent="0.3">
      <c r="B20" s="7"/>
      <c r="C20" s="7" t="s">
        <v>127</v>
      </c>
      <c r="D20" s="7" t="s">
        <v>58</v>
      </c>
      <c r="E20" s="7" t="s">
        <v>45</v>
      </c>
      <c r="F20" s="7" t="s">
        <v>55</v>
      </c>
      <c r="G20" s="7" t="s">
        <v>150</v>
      </c>
      <c r="H20" s="7" t="s">
        <v>160</v>
      </c>
      <c r="I20" s="7" t="s">
        <v>187</v>
      </c>
      <c r="J20" s="45"/>
      <c r="K20" s="45"/>
      <c r="L20" s="45"/>
      <c r="M20" s="573"/>
      <c r="N20" s="573"/>
      <c r="O20" s="573"/>
      <c r="P20" s="573"/>
      <c r="Q20" s="573"/>
      <c r="R20" s="574"/>
      <c r="S20" s="537"/>
      <c r="T20" s="573"/>
      <c r="U20" s="573"/>
      <c r="V20" s="573"/>
      <c r="W20" s="573"/>
      <c r="X20" s="573"/>
      <c r="Y20" s="573"/>
      <c r="Z20" s="573"/>
      <c r="AA20" s="573"/>
      <c r="AB20" s="537"/>
      <c r="AC20" s="574"/>
      <c r="AD20" s="574"/>
      <c r="AE20" s="574"/>
      <c r="AF20" s="574"/>
      <c r="AG20" s="537"/>
      <c r="AH20" s="573"/>
      <c r="AI20" s="573"/>
      <c r="AJ20" s="573"/>
      <c r="AK20" s="573"/>
      <c r="AL20" s="573"/>
      <c r="AM20" s="573"/>
      <c r="AN20" s="573"/>
      <c r="AO20" s="573"/>
      <c r="AP20" s="537"/>
      <c r="AQ20" s="573"/>
      <c r="AR20" s="573"/>
      <c r="AS20" s="573"/>
      <c r="AT20" s="573"/>
      <c r="AU20" s="573"/>
      <c r="AV20" s="573"/>
      <c r="AW20" s="573"/>
      <c r="AX20" s="573"/>
      <c r="AY20" s="573"/>
      <c r="AZ20" s="573"/>
      <c r="BA20" s="573"/>
      <c r="BB20" s="573"/>
      <c r="BC20" s="573"/>
      <c r="BD20" s="573"/>
      <c r="BE20" s="573"/>
      <c r="BF20" s="573"/>
      <c r="BG20" s="573"/>
      <c r="BH20" s="573"/>
      <c r="BI20" s="573"/>
      <c r="BJ20" s="573"/>
      <c r="BK20" s="573"/>
      <c r="BL20" s="573"/>
      <c r="BM20" s="573"/>
      <c r="BN20" s="573"/>
      <c r="BO20" s="573"/>
      <c r="BP20" s="573"/>
      <c r="BQ20" s="573"/>
      <c r="BR20" s="573"/>
      <c r="BS20" s="573"/>
      <c r="BT20" s="573"/>
      <c r="BU20" s="573"/>
      <c r="BV20" s="573"/>
      <c r="BW20" s="573"/>
      <c r="BX20" s="573"/>
      <c r="BY20" s="573"/>
      <c r="BZ20" s="573"/>
      <c r="CA20" s="573"/>
      <c r="CB20" s="573"/>
      <c r="CC20" s="573"/>
      <c r="CD20" s="573"/>
      <c r="CE20" s="573"/>
      <c r="CF20" s="573"/>
      <c r="CG20" s="573"/>
      <c r="CH20" s="573"/>
      <c r="CI20" s="573"/>
      <c r="CJ20" s="573"/>
      <c r="CK20" s="573"/>
      <c r="CL20" s="573"/>
      <c r="CM20" s="537"/>
      <c r="CN20" s="573"/>
      <c r="CO20" s="573"/>
      <c r="CP20" s="573"/>
      <c r="CQ20" s="573"/>
      <c r="CR20" s="573"/>
      <c r="CS20" s="573"/>
      <c r="CT20" s="573"/>
      <c r="CU20" s="573"/>
      <c r="CV20" s="537"/>
      <c r="CW20" s="573"/>
      <c r="CX20" s="573"/>
      <c r="CY20" s="573"/>
      <c r="CZ20" s="573"/>
      <c r="DA20" s="573"/>
      <c r="DB20" s="573"/>
      <c r="DC20" s="573"/>
      <c r="DD20" s="573"/>
      <c r="DE20" s="537"/>
      <c r="DF20" s="573"/>
      <c r="DG20" s="573"/>
      <c r="DH20" s="573"/>
      <c r="DI20" s="573"/>
      <c r="DJ20" s="573"/>
      <c r="DK20" s="573"/>
      <c r="DL20" s="573"/>
      <c r="DM20" s="573"/>
      <c r="DO20" s="39"/>
      <c r="DP20" s="39"/>
      <c r="DQ20" s="39"/>
      <c r="DR20" s="39"/>
      <c r="DS20" s="39"/>
      <c r="DT20" s="39"/>
    </row>
    <row r="21" spans="2:124" x14ac:dyDescent="0.3">
      <c r="B21" s="7"/>
      <c r="C21" s="7" t="s">
        <v>276</v>
      </c>
      <c r="D21" s="7" t="s">
        <v>58</v>
      </c>
      <c r="E21" s="7" t="s">
        <v>45</v>
      </c>
      <c r="F21" s="7" t="s">
        <v>55</v>
      </c>
      <c r="G21" s="7" t="s">
        <v>150</v>
      </c>
      <c r="H21" s="7" t="s">
        <v>157</v>
      </c>
      <c r="I21" s="7" t="s">
        <v>197</v>
      </c>
      <c r="J21" s="45"/>
      <c r="K21" s="45"/>
      <c r="L21" s="45"/>
      <c r="M21" s="573"/>
      <c r="N21" s="573"/>
      <c r="O21" s="573"/>
      <c r="P21" s="573"/>
      <c r="Q21" s="573"/>
      <c r="R21" s="574"/>
      <c r="S21" s="537"/>
      <c r="T21" s="573"/>
      <c r="U21" s="573"/>
      <c r="V21" s="573"/>
      <c r="W21" s="573"/>
      <c r="X21" s="573"/>
      <c r="Y21" s="573"/>
      <c r="Z21" s="573"/>
      <c r="AA21" s="573"/>
      <c r="AB21" s="537"/>
      <c r="AC21" s="574"/>
      <c r="AD21" s="574"/>
      <c r="AE21" s="574"/>
      <c r="AF21" s="574"/>
      <c r="AG21" s="537"/>
      <c r="AH21" s="573"/>
      <c r="AI21" s="573"/>
      <c r="AJ21" s="573"/>
      <c r="AK21" s="573"/>
      <c r="AL21" s="573"/>
      <c r="AM21" s="573"/>
      <c r="AN21" s="573"/>
      <c r="AO21" s="573"/>
      <c r="AP21" s="537"/>
      <c r="AQ21" s="576"/>
      <c r="AR21" s="576"/>
      <c r="AS21" s="576"/>
      <c r="AT21" s="576"/>
      <c r="AU21" s="576"/>
      <c r="AV21" s="573"/>
      <c r="AW21" s="573"/>
      <c r="AX21" s="573"/>
      <c r="AY21" s="573"/>
      <c r="AZ21" s="573"/>
      <c r="BA21" s="573"/>
      <c r="BB21" s="573"/>
      <c r="BC21" s="573"/>
      <c r="BD21" s="573"/>
      <c r="BE21" s="573"/>
      <c r="BF21" s="573"/>
      <c r="BG21" s="573"/>
      <c r="BH21" s="573"/>
      <c r="BI21" s="573"/>
      <c r="BJ21" s="573"/>
      <c r="BK21" s="573"/>
      <c r="BL21" s="573"/>
      <c r="BM21" s="573"/>
      <c r="BN21" s="573"/>
      <c r="BO21" s="573"/>
      <c r="BP21" s="573"/>
      <c r="BQ21" s="573"/>
      <c r="BR21" s="573"/>
      <c r="BS21" s="573"/>
      <c r="BT21" s="573"/>
      <c r="BU21" s="573"/>
      <c r="BV21" s="573"/>
      <c r="BW21" s="573"/>
      <c r="BX21" s="573"/>
      <c r="BY21" s="573"/>
      <c r="BZ21" s="573"/>
      <c r="CA21" s="573"/>
      <c r="CB21" s="573"/>
      <c r="CC21" s="573"/>
      <c r="CD21" s="573"/>
      <c r="CE21" s="573"/>
      <c r="CF21" s="573"/>
      <c r="CG21" s="573"/>
      <c r="CH21" s="573"/>
      <c r="CI21" s="573"/>
      <c r="CJ21" s="573"/>
      <c r="CK21" s="573"/>
      <c r="CL21" s="573"/>
      <c r="CM21" s="537"/>
      <c r="CN21" s="573"/>
      <c r="CO21" s="573"/>
      <c r="CP21" s="573"/>
      <c r="CQ21" s="573"/>
      <c r="CR21" s="573"/>
      <c r="CS21" s="573"/>
      <c r="CT21" s="573"/>
      <c r="CU21" s="573"/>
      <c r="CV21" s="537"/>
      <c r="CW21" s="573"/>
      <c r="CX21" s="573"/>
      <c r="CY21" s="573"/>
      <c r="CZ21" s="573"/>
      <c r="DA21" s="573"/>
      <c r="DB21" s="573"/>
      <c r="DC21" s="573"/>
      <c r="DD21" s="573"/>
      <c r="DE21" s="537"/>
      <c r="DF21" s="573"/>
      <c r="DG21" s="573"/>
      <c r="DH21" s="573"/>
      <c r="DI21" s="573"/>
      <c r="DJ21" s="573"/>
      <c r="DK21" s="573"/>
      <c r="DL21" s="573"/>
      <c r="DM21" s="573"/>
      <c r="DO21" s="39"/>
    </row>
    <row r="22" spans="2:124" x14ac:dyDescent="0.3">
      <c r="B22" s="7"/>
      <c r="C22" s="7" t="s">
        <v>277</v>
      </c>
      <c r="D22" s="7" t="s">
        <v>58</v>
      </c>
      <c r="E22" s="7" t="s">
        <v>45</v>
      </c>
      <c r="F22" s="7" t="s">
        <v>55</v>
      </c>
      <c r="G22" s="7" t="s">
        <v>150</v>
      </c>
      <c r="H22" s="7" t="s">
        <v>157</v>
      </c>
      <c r="I22" s="7" t="s">
        <v>270</v>
      </c>
      <c r="J22" s="45"/>
      <c r="K22" s="45"/>
      <c r="L22" s="45"/>
      <c r="M22" s="573"/>
      <c r="N22" s="573"/>
      <c r="O22" s="573"/>
      <c r="P22" s="573"/>
      <c r="Q22" s="573"/>
      <c r="R22" s="574"/>
      <c r="S22" s="537"/>
      <c r="T22" s="573"/>
      <c r="U22" s="573"/>
      <c r="V22" s="573"/>
      <c r="W22" s="573"/>
      <c r="X22" s="573"/>
      <c r="Y22" s="573"/>
      <c r="Z22" s="573"/>
      <c r="AA22" s="573"/>
      <c r="AB22" s="537"/>
      <c r="AC22" s="574"/>
      <c r="AD22" s="574"/>
      <c r="AE22" s="574"/>
      <c r="AF22" s="574"/>
      <c r="AG22" s="537"/>
      <c r="AH22" s="573"/>
      <c r="AI22" s="573"/>
      <c r="AJ22" s="573"/>
      <c r="AK22" s="573"/>
      <c r="AL22" s="573"/>
      <c r="AM22" s="573"/>
      <c r="AN22" s="573"/>
      <c r="AO22" s="573"/>
      <c r="AP22" s="537"/>
      <c r="AQ22" s="576"/>
      <c r="AR22" s="576"/>
      <c r="AS22" s="576"/>
      <c r="AT22" s="576"/>
      <c r="AU22" s="576"/>
      <c r="AV22" s="573"/>
      <c r="AW22" s="573"/>
      <c r="AX22" s="573"/>
      <c r="AY22" s="573"/>
      <c r="AZ22" s="573"/>
      <c r="BA22" s="573"/>
      <c r="BB22" s="573"/>
      <c r="BC22" s="573"/>
      <c r="BD22" s="573"/>
      <c r="BE22" s="573"/>
      <c r="BF22" s="573"/>
      <c r="BG22" s="573"/>
      <c r="BH22" s="573"/>
      <c r="BI22" s="573"/>
      <c r="BJ22" s="573"/>
      <c r="BK22" s="573"/>
      <c r="BL22" s="573"/>
      <c r="BM22" s="573"/>
      <c r="BN22" s="573"/>
      <c r="BO22" s="573"/>
      <c r="BP22" s="573"/>
      <c r="BQ22" s="573"/>
      <c r="BR22" s="573"/>
      <c r="BS22" s="573"/>
      <c r="BT22" s="573"/>
      <c r="BU22" s="573"/>
      <c r="BV22" s="573"/>
      <c r="BW22" s="573"/>
      <c r="BX22" s="573"/>
      <c r="BY22" s="573"/>
      <c r="BZ22" s="573"/>
      <c r="CA22" s="573"/>
      <c r="CB22" s="573"/>
      <c r="CC22" s="573"/>
      <c r="CD22" s="573"/>
      <c r="CE22" s="573"/>
      <c r="CF22" s="573"/>
      <c r="CG22" s="573"/>
      <c r="CH22" s="573"/>
      <c r="CI22" s="573"/>
      <c r="CJ22" s="573"/>
      <c r="CK22" s="573"/>
      <c r="CL22" s="573"/>
      <c r="CM22" s="537"/>
      <c r="CN22" s="573"/>
      <c r="CO22" s="573"/>
      <c r="CP22" s="573"/>
      <c r="CQ22" s="573"/>
      <c r="CR22" s="573"/>
      <c r="CS22" s="573"/>
      <c r="CT22" s="573"/>
      <c r="CU22" s="573"/>
      <c r="CV22" s="537"/>
      <c r="CW22" s="573"/>
      <c r="CX22" s="573"/>
      <c r="CY22" s="573"/>
      <c r="CZ22" s="573"/>
      <c r="DA22" s="573"/>
      <c r="DB22" s="573"/>
      <c r="DC22" s="573"/>
      <c r="DD22" s="573"/>
      <c r="DE22" s="537"/>
      <c r="DF22" s="573"/>
      <c r="DG22" s="573"/>
      <c r="DH22" s="573"/>
      <c r="DI22" s="573"/>
      <c r="DJ22" s="573"/>
      <c r="DK22" s="573"/>
      <c r="DL22" s="573"/>
      <c r="DM22" s="573"/>
      <c r="DO22" s="39"/>
    </row>
    <row r="23" spans="2:124" x14ac:dyDescent="0.3">
      <c r="B23" s="7"/>
      <c r="C23" s="7" t="s">
        <v>278</v>
      </c>
      <c r="D23" s="7" t="s">
        <v>58</v>
      </c>
      <c r="E23" s="7" t="s">
        <v>45</v>
      </c>
      <c r="F23" s="7" t="s">
        <v>55</v>
      </c>
      <c r="G23" s="7" t="s">
        <v>150</v>
      </c>
      <c r="H23" s="7" t="s">
        <v>157</v>
      </c>
      <c r="I23" s="7" t="s">
        <v>272</v>
      </c>
      <c r="J23" s="45"/>
      <c r="K23" s="45"/>
      <c r="L23" s="45"/>
      <c r="M23" s="573"/>
      <c r="N23" s="573"/>
      <c r="O23" s="573"/>
      <c r="P23" s="573"/>
      <c r="Q23" s="573"/>
      <c r="R23" s="574"/>
      <c r="S23" s="537"/>
      <c r="T23" s="573"/>
      <c r="U23" s="573"/>
      <c r="V23" s="573"/>
      <c r="W23" s="573"/>
      <c r="X23" s="573"/>
      <c r="Y23" s="573"/>
      <c r="Z23" s="573"/>
      <c r="AA23" s="573"/>
      <c r="AB23" s="537"/>
      <c r="AC23" s="574"/>
      <c r="AD23" s="574"/>
      <c r="AE23" s="574"/>
      <c r="AF23" s="574"/>
      <c r="AG23" s="537"/>
      <c r="AH23" s="573"/>
      <c r="AI23" s="573"/>
      <c r="AJ23" s="573"/>
      <c r="AK23" s="573"/>
      <c r="AL23" s="573"/>
      <c r="AM23" s="573"/>
      <c r="AN23" s="573"/>
      <c r="AO23" s="573"/>
      <c r="AP23" s="537"/>
      <c r="AQ23" s="576"/>
      <c r="AR23" s="576"/>
      <c r="AS23" s="576"/>
      <c r="AT23" s="576"/>
      <c r="AU23" s="576"/>
      <c r="AV23" s="573"/>
      <c r="AW23" s="573"/>
      <c r="AX23" s="573"/>
      <c r="AY23" s="573"/>
      <c r="AZ23" s="573"/>
      <c r="BA23" s="573"/>
      <c r="BB23" s="573"/>
      <c r="BC23" s="573"/>
      <c r="BD23" s="573"/>
      <c r="BE23" s="573"/>
      <c r="BF23" s="573"/>
      <c r="BG23" s="573"/>
      <c r="BH23" s="573"/>
      <c r="BI23" s="573"/>
      <c r="BJ23" s="573"/>
      <c r="BK23" s="573"/>
      <c r="BL23" s="573"/>
      <c r="BM23" s="573"/>
      <c r="BN23" s="573"/>
      <c r="BO23" s="573"/>
      <c r="BP23" s="573"/>
      <c r="BQ23" s="573"/>
      <c r="BR23" s="573"/>
      <c r="BS23" s="573"/>
      <c r="BT23" s="573"/>
      <c r="BU23" s="573"/>
      <c r="BV23" s="573"/>
      <c r="BW23" s="573"/>
      <c r="BX23" s="573"/>
      <c r="BY23" s="573"/>
      <c r="BZ23" s="573"/>
      <c r="CA23" s="573"/>
      <c r="CB23" s="573"/>
      <c r="CC23" s="573"/>
      <c r="CD23" s="573"/>
      <c r="CE23" s="573"/>
      <c r="CF23" s="573"/>
      <c r="CG23" s="573"/>
      <c r="CH23" s="573"/>
      <c r="CI23" s="573"/>
      <c r="CJ23" s="573"/>
      <c r="CK23" s="573"/>
      <c r="CL23" s="573"/>
      <c r="CM23" s="537"/>
      <c r="CN23" s="573"/>
      <c r="CO23" s="573"/>
      <c r="CP23" s="573"/>
      <c r="CQ23" s="573"/>
      <c r="CR23" s="573"/>
      <c r="CS23" s="573"/>
      <c r="CT23" s="573"/>
      <c r="CU23" s="573"/>
      <c r="CV23" s="537"/>
      <c r="CW23" s="573"/>
      <c r="CX23" s="573"/>
      <c r="CY23" s="573"/>
      <c r="CZ23" s="573"/>
      <c r="DA23" s="573"/>
      <c r="DB23" s="573"/>
      <c r="DC23" s="573"/>
      <c r="DD23" s="573"/>
      <c r="DE23" s="537"/>
      <c r="DF23" s="573"/>
      <c r="DG23" s="573"/>
      <c r="DH23" s="573"/>
      <c r="DI23" s="573"/>
      <c r="DJ23" s="573"/>
      <c r="DK23" s="573"/>
      <c r="DL23" s="573"/>
      <c r="DM23" s="573"/>
      <c r="DO23" s="39"/>
    </row>
    <row r="24" spans="2:124" x14ac:dyDescent="0.3">
      <c r="B24" s="7"/>
      <c r="C24" s="7" t="s">
        <v>279</v>
      </c>
      <c r="D24" s="7" t="s">
        <v>58</v>
      </c>
      <c r="E24" s="7" t="s">
        <v>45</v>
      </c>
      <c r="F24" s="7" t="s">
        <v>55</v>
      </c>
      <c r="G24" s="7" t="s">
        <v>150</v>
      </c>
      <c r="H24" s="7" t="s">
        <v>157</v>
      </c>
      <c r="I24" s="7" t="s">
        <v>192</v>
      </c>
      <c r="J24" s="45"/>
      <c r="K24" s="45"/>
      <c r="L24" s="45"/>
      <c r="M24" s="573"/>
      <c r="N24" s="573"/>
      <c r="O24" s="573"/>
      <c r="P24" s="573"/>
      <c r="Q24" s="573"/>
      <c r="R24" s="574"/>
      <c r="S24" s="537"/>
      <c r="T24" s="573"/>
      <c r="U24" s="573"/>
      <c r="V24" s="573"/>
      <c r="W24" s="573"/>
      <c r="X24" s="573"/>
      <c r="Y24" s="573"/>
      <c r="Z24" s="573"/>
      <c r="AA24" s="573"/>
      <c r="AB24" s="537"/>
      <c r="AC24" s="574"/>
      <c r="AD24" s="574"/>
      <c r="AE24" s="574"/>
      <c r="AF24" s="574"/>
      <c r="AG24" s="537"/>
      <c r="AH24" s="573"/>
      <c r="AI24" s="573"/>
      <c r="AJ24" s="573"/>
      <c r="AK24" s="573"/>
      <c r="AL24" s="573"/>
      <c r="AM24" s="573"/>
      <c r="AN24" s="573"/>
      <c r="AO24" s="573"/>
      <c r="AP24" s="537"/>
      <c r="AQ24" s="576"/>
      <c r="AR24" s="576"/>
      <c r="AS24" s="576"/>
      <c r="AT24" s="576"/>
      <c r="AU24" s="576"/>
      <c r="AV24" s="573"/>
      <c r="AW24" s="573"/>
      <c r="AX24" s="573"/>
      <c r="AY24" s="573"/>
      <c r="AZ24" s="573"/>
      <c r="BA24" s="573"/>
      <c r="BB24" s="573"/>
      <c r="BC24" s="573"/>
      <c r="BD24" s="573"/>
      <c r="BE24" s="573"/>
      <c r="BF24" s="573"/>
      <c r="BG24" s="573"/>
      <c r="BH24" s="573"/>
      <c r="BI24" s="573"/>
      <c r="BJ24" s="573"/>
      <c r="BK24" s="573"/>
      <c r="BL24" s="573"/>
      <c r="BM24" s="573"/>
      <c r="BN24" s="573"/>
      <c r="BO24" s="573"/>
      <c r="BP24" s="573"/>
      <c r="BQ24" s="573"/>
      <c r="BR24" s="573"/>
      <c r="BS24" s="573"/>
      <c r="BT24" s="573"/>
      <c r="BU24" s="573"/>
      <c r="BV24" s="573"/>
      <c r="BW24" s="573"/>
      <c r="BX24" s="573"/>
      <c r="BY24" s="573"/>
      <c r="BZ24" s="573"/>
      <c r="CA24" s="573"/>
      <c r="CB24" s="573"/>
      <c r="CC24" s="573"/>
      <c r="CD24" s="573"/>
      <c r="CE24" s="573"/>
      <c r="CF24" s="573"/>
      <c r="CG24" s="573"/>
      <c r="CH24" s="573"/>
      <c r="CI24" s="573"/>
      <c r="CJ24" s="573"/>
      <c r="CK24" s="573"/>
      <c r="CL24" s="573"/>
      <c r="CM24" s="537"/>
      <c r="CN24" s="573"/>
      <c r="CO24" s="573"/>
      <c r="CP24" s="573"/>
      <c r="CQ24" s="573"/>
      <c r="CR24" s="573"/>
      <c r="CS24" s="573"/>
      <c r="CT24" s="573"/>
      <c r="CU24" s="573"/>
      <c r="CV24" s="537"/>
      <c r="CW24" s="573"/>
      <c r="CX24" s="573"/>
      <c r="CY24" s="573"/>
      <c r="CZ24" s="573"/>
      <c r="DA24" s="573"/>
      <c r="DB24" s="573"/>
      <c r="DC24" s="573"/>
      <c r="DD24" s="573"/>
      <c r="DE24" s="537"/>
      <c r="DF24" s="573"/>
      <c r="DG24" s="573"/>
      <c r="DH24" s="573"/>
      <c r="DI24" s="573"/>
      <c r="DJ24" s="573"/>
      <c r="DK24" s="573"/>
      <c r="DL24" s="573"/>
      <c r="DM24" s="573"/>
      <c r="DO24" s="39"/>
    </row>
    <row r="25" spans="2:124" x14ac:dyDescent="0.3">
      <c r="B25" s="7"/>
      <c r="C25" s="7" t="s">
        <v>450</v>
      </c>
      <c r="D25" s="7" t="s">
        <v>58</v>
      </c>
      <c r="E25" s="7" t="s">
        <v>45</v>
      </c>
      <c r="F25" s="7" t="s">
        <v>55</v>
      </c>
      <c r="G25" s="7" t="s">
        <v>150</v>
      </c>
      <c r="H25" s="7" t="s">
        <v>157</v>
      </c>
      <c r="I25" s="7" t="s">
        <v>192</v>
      </c>
      <c r="J25" s="7"/>
      <c r="K25" s="7"/>
      <c r="L25" s="7"/>
      <c r="M25" s="576"/>
      <c r="N25" s="576"/>
      <c r="O25" s="576"/>
      <c r="P25" s="576"/>
      <c r="Q25" s="576"/>
      <c r="R25" s="574"/>
      <c r="S25" s="537"/>
      <c r="T25" s="573"/>
      <c r="U25" s="573"/>
      <c r="V25" s="573"/>
      <c r="W25" s="573"/>
      <c r="X25" s="573"/>
      <c r="Y25" s="573"/>
      <c r="Z25" s="573"/>
      <c r="AA25" s="573"/>
      <c r="AB25" s="537"/>
      <c r="AC25" s="574"/>
      <c r="AD25" s="574"/>
      <c r="AE25" s="574"/>
      <c r="AF25" s="574"/>
      <c r="AG25" s="537"/>
      <c r="AH25" s="573"/>
      <c r="AI25" s="573"/>
      <c r="AJ25" s="573"/>
      <c r="AK25" s="573"/>
      <c r="AL25" s="573"/>
      <c r="AM25" s="573"/>
      <c r="AN25" s="573"/>
      <c r="AO25" s="573"/>
      <c r="AP25" s="537"/>
      <c r="AQ25" s="576"/>
      <c r="AR25" s="576"/>
      <c r="AS25" s="576"/>
      <c r="AT25" s="576"/>
      <c r="AU25" s="576"/>
      <c r="AV25" s="573"/>
      <c r="AW25" s="573"/>
      <c r="AX25" s="573"/>
      <c r="AY25" s="573"/>
      <c r="AZ25" s="573"/>
      <c r="BA25" s="573"/>
      <c r="BB25" s="573"/>
      <c r="BC25" s="573"/>
      <c r="BD25" s="573"/>
      <c r="BE25" s="573"/>
      <c r="BF25" s="573"/>
      <c r="BG25" s="573"/>
      <c r="BH25" s="573"/>
      <c r="BI25" s="573"/>
      <c r="BJ25" s="573"/>
      <c r="BK25" s="573"/>
      <c r="BL25" s="573"/>
      <c r="BM25" s="573"/>
      <c r="BN25" s="573"/>
      <c r="BO25" s="573"/>
      <c r="BP25" s="573"/>
      <c r="BQ25" s="573"/>
      <c r="BR25" s="573"/>
      <c r="BS25" s="573"/>
      <c r="BT25" s="573"/>
      <c r="BU25" s="573"/>
      <c r="BV25" s="573"/>
      <c r="BW25" s="573"/>
      <c r="BX25" s="573"/>
      <c r="BY25" s="573"/>
      <c r="BZ25" s="573"/>
      <c r="CA25" s="573"/>
      <c r="CB25" s="573"/>
      <c r="CC25" s="573"/>
      <c r="CD25" s="573"/>
      <c r="CE25" s="573"/>
      <c r="CF25" s="573"/>
      <c r="CG25" s="573"/>
      <c r="CH25" s="573"/>
      <c r="CI25" s="573"/>
      <c r="CJ25" s="573"/>
      <c r="CK25" s="573"/>
      <c r="CL25" s="573"/>
      <c r="CM25" s="537"/>
      <c r="CN25" s="573"/>
      <c r="CO25" s="573"/>
      <c r="CP25" s="573"/>
      <c r="CQ25" s="573"/>
      <c r="CR25" s="573"/>
      <c r="CS25" s="573"/>
      <c r="CT25" s="573"/>
      <c r="CU25" s="573"/>
      <c r="CV25" s="537"/>
      <c r="CW25" s="573"/>
      <c r="CX25" s="573"/>
      <c r="CY25" s="573"/>
      <c r="CZ25" s="573"/>
      <c r="DA25" s="573"/>
      <c r="DB25" s="573"/>
      <c r="DC25" s="573"/>
      <c r="DD25" s="573"/>
      <c r="DE25" s="537"/>
      <c r="DF25" s="573"/>
      <c r="DG25" s="573"/>
      <c r="DH25" s="573"/>
      <c r="DI25" s="573"/>
      <c r="DJ25" s="573"/>
      <c r="DK25" s="573"/>
      <c r="DL25" s="573"/>
      <c r="DM25" s="573"/>
      <c r="DO25" s="39"/>
    </row>
    <row r="26" spans="2:124" x14ac:dyDescent="0.3">
      <c r="B26" s="7"/>
      <c r="C26" s="7" t="s">
        <v>451</v>
      </c>
      <c r="D26" s="7" t="s">
        <v>58</v>
      </c>
      <c r="E26" s="7" t="s">
        <v>45</v>
      </c>
      <c r="F26" s="7" t="s">
        <v>55</v>
      </c>
      <c r="G26" s="7" t="s">
        <v>150</v>
      </c>
      <c r="H26" s="7" t="s">
        <v>157</v>
      </c>
      <c r="I26" s="7" t="s">
        <v>197</v>
      </c>
      <c r="J26" s="7"/>
      <c r="K26" s="7"/>
      <c r="L26" s="356"/>
      <c r="M26" s="578"/>
      <c r="N26" s="578"/>
      <c r="O26" s="578"/>
      <c r="P26" s="578"/>
      <c r="Q26" s="578"/>
      <c r="R26" s="574"/>
      <c r="S26" s="537"/>
      <c r="T26" s="573"/>
      <c r="U26" s="573"/>
      <c r="V26" s="573"/>
      <c r="W26" s="573"/>
      <c r="X26" s="573"/>
      <c r="Y26" s="573"/>
      <c r="Z26" s="573"/>
      <c r="AA26" s="573"/>
      <c r="AB26" s="537"/>
      <c r="AC26" s="574"/>
      <c r="AD26" s="574"/>
      <c r="AE26" s="574"/>
      <c r="AF26" s="574"/>
      <c r="AG26" s="537"/>
      <c r="AH26" s="573"/>
      <c r="AI26" s="573"/>
      <c r="AJ26" s="573"/>
      <c r="AK26" s="573"/>
      <c r="AL26" s="573"/>
      <c r="AM26" s="573"/>
      <c r="AN26" s="573"/>
      <c r="AO26" s="573"/>
      <c r="AP26" s="537"/>
      <c r="AQ26" s="576"/>
      <c r="AR26" s="576"/>
      <c r="AS26" s="576"/>
      <c r="AT26" s="576"/>
      <c r="AU26" s="576"/>
      <c r="AV26" s="573"/>
      <c r="AW26" s="573"/>
      <c r="AX26" s="573"/>
      <c r="AY26" s="573"/>
      <c r="AZ26" s="573"/>
      <c r="BA26" s="573"/>
      <c r="BB26" s="573"/>
      <c r="BC26" s="573"/>
      <c r="BD26" s="573"/>
      <c r="BE26" s="573"/>
      <c r="BF26" s="573"/>
      <c r="BG26" s="573"/>
      <c r="BH26" s="573"/>
      <c r="BI26" s="573"/>
      <c r="BJ26" s="573"/>
      <c r="BK26" s="573"/>
      <c r="BL26" s="573"/>
      <c r="BM26" s="573"/>
      <c r="BN26" s="573"/>
      <c r="BO26" s="573"/>
      <c r="BP26" s="573"/>
      <c r="BQ26" s="573"/>
      <c r="BR26" s="573"/>
      <c r="BS26" s="573"/>
      <c r="BT26" s="573"/>
      <c r="BU26" s="573"/>
      <c r="BV26" s="573"/>
      <c r="BW26" s="573"/>
      <c r="BX26" s="573"/>
      <c r="BY26" s="573"/>
      <c r="BZ26" s="573"/>
      <c r="CA26" s="573"/>
      <c r="CB26" s="573"/>
      <c r="CC26" s="573"/>
      <c r="CD26" s="573"/>
      <c r="CE26" s="573"/>
      <c r="CF26" s="573"/>
      <c r="CG26" s="573"/>
      <c r="CH26" s="573"/>
      <c r="CI26" s="573"/>
      <c r="CJ26" s="573"/>
      <c r="CK26" s="573"/>
      <c r="CL26" s="573"/>
      <c r="CM26" s="537"/>
      <c r="CN26" s="573"/>
      <c r="CO26" s="573"/>
      <c r="CP26" s="573"/>
      <c r="CQ26" s="573"/>
      <c r="CR26" s="573"/>
      <c r="CS26" s="573"/>
      <c r="CT26" s="573"/>
      <c r="CU26" s="573"/>
      <c r="CV26" s="537"/>
      <c r="CW26" s="573"/>
      <c r="CX26" s="573"/>
      <c r="CY26" s="573"/>
      <c r="CZ26" s="573"/>
      <c r="DA26" s="573"/>
      <c r="DB26" s="573"/>
      <c r="DC26" s="573"/>
      <c r="DD26" s="573"/>
      <c r="DE26" s="537"/>
      <c r="DF26" s="573"/>
      <c r="DG26" s="573"/>
      <c r="DH26" s="573"/>
      <c r="DI26" s="573"/>
      <c r="DJ26" s="573"/>
      <c r="DK26" s="573"/>
      <c r="DL26" s="573"/>
      <c r="DM26" s="573"/>
      <c r="DO26" s="39"/>
    </row>
    <row r="27" spans="2:124" x14ac:dyDescent="0.3">
      <c r="B27" s="7"/>
      <c r="C27" s="7" t="s">
        <v>574</v>
      </c>
      <c r="D27" s="7" t="s">
        <v>58</v>
      </c>
      <c r="E27" s="7" t="s">
        <v>45</v>
      </c>
      <c r="F27" s="7" t="s">
        <v>55</v>
      </c>
      <c r="G27" s="7" t="s">
        <v>150</v>
      </c>
      <c r="H27" s="7" t="s">
        <v>157</v>
      </c>
      <c r="I27" s="7" t="s">
        <v>197</v>
      </c>
      <c r="J27" s="7"/>
      <c r="K27" s="7"/>
      <c r="L27" s="7"/>
      <c r="M27" s="576"/>
      <c r="N27" s="576"/>
      <c r="O27" s="576"/>
      <c r="P27" s="576"/>
      <c r="Q27" s="576"/>
      <c r="R27" s="574"/>
      <c r="S27" s="537"/>
      <c r="T27" s="573"/>
      <c r="U27" s="573"/>
      <c r="V27" s="573"/>
      <c r="W27" s="573"/>
      <c r="X27" s="573"/>
      <c r="Y27" s="573"/>
      <c r="Z27" s="573"/>
      <c r="AA27" s="573"/>
      <c r="AB27" s="537"/>
      <c r="AC27" s="574"/>
      <c r="AD27" s="574"/>
      <c r="AE27" s="574"/>
      <c r="AF27" s="574"/>
      <c r="AG27" s="537"/>
      <c r="AH27" s="573"/>
      <c r="AI27" s="573"/>
      <c r="AJ27" s="573"/>
      <c r="AK27" s="573"/>
      <c r="AL27" s="573"/>
      <c r="AM27" s="573"/>
      <c r="AN27" s="573"/>
      <c r="AO27" s="573"/>
      <c r="AP27" s="537"/>
      <c r="AQ27" s="576"/>
      <c r="AR27" s="576"/>
      <c r="AS27" s="576"/>
      <c r="AT27" s="576"/>
      <c r="AU27" s="576"/>
      <c r="AV27" s="573"/>
      <c r="AW27" s="573"/>
      <c r="AX27" s="573"/>
      <c r="AY27" s="573"/>
      <c r="AZ27" s="573"/>
      <c r="BA27" s="573"/>
      <c r="BB27" s="573"/>
      <c r="BC27" s="573"/>
      <c r="BD27" s="573"/>
      <c r="BE27" s="573"/>
      <c r="BF27" s="573"/>
      <c r="BG27" s="573"/>
      <c r="BH27" s="573"/>
      <c r="BI27" s="573"/>
      <c r="BJ27" s="573"/>
      <c r="BK27" s="573"/>
      <c r="BL27" s="573"/>
      <c r="BM27" s="573"/>
      <c r="BN27" s="573"/>
      <c r="BO27" s="573"/>
      <c r="BP27" s="573"/>
      <c r="BQ27" s="573"/>
      <c r="BR27" s="573"/>
      <c r="BS27" s="573"/>
      <c r="BT27" s="573"/>
      <c r="BU27" s="573"/>
      <c r="BV27" s="573"/>
      <c r="BW27" s="573"/>
      <c r="BX27" s="573"/>
      <c r="BY27" s="573"/>
      <c r="BZ27" s="573"/>
      <c r="CA27" s="573"/>
      <c r="CB27" s="573"/>
      <c r="CC27" s="573"/>
      <c r="CD27" s="573"/>
      <c r="CE27" s="573"/>
      <c r="CF27" s="573"/>
      <c r="CG27" s="573"/>
      <c r="CH27" s="573"/>
      <c r="CI27" s="573"/>
      <c r="CJ27" s="573"/>
      <c r="CK27" s="573"/>
      <c r="CL27" s="573"/>
      <c r="CM27" s="537"/>
      <c r="CN27" s="573"/>
      <c r="CO27" s="573"/>
      <c r="CP27" s="573"/>
      <c r="CQ27" s="573"/>
      <c r="CR27" s="573"/>
      <c r="CS27" s="573"/>
      <c r="CT27" s="573"/>
      <c r="CU27" s="573"/>
      <c r="CV27" s="537"/>
      <c r="CW27" s="573"/>
      <c r="CX27" s="573"/>
      <c r="CY27" s="573"/>
      <c r="CZ27" s="573"/>
      <c r="DA27" s="573"/>
      <c r="DB27" s="573"/>
      <c r="DC27" s="573"/>
      <c r="DD27" s="573"/>
      <c r="DE27" s="537"/>
      <c r="DF27" s="573"/>
      <c r="DG27" s="573"/>
      <c r="DH27" s="573"/>
      <c r="DI27" s="573"/>
      <c r="DJ27" s="573"/>
      <c r="DK27" s="573"/>
      <c r="DL27" s="573"/>
      <c r="DM27" s="573"/>
      <c r="DO27" s="39"/>
    </row>
    <row r="28" spans="2:124" x14ac:dyDescent="0.3">
      <c r="B28" s="7"/>
      <c r="C28" s="7" t="s">
        <v>575</v>
      </c>
      <c r="D28" s="7" t="s">
        <v>58</v>
      </c>
      <c r="E28" s="7" t="s">
        <v>45</v>
      </c>
      <c r="F28" s="7" t="s">
        <v>55</v>
      </c>
      <c r="G28" s="7" t="s">
        <v>150</v>
      </c>
      <c r="H28" s="7" t="s">
        <v>157</v>
      </c>
      <c r="I28" s="7" t="s">
        <v>197</v>
      </c>
      <c r="J28" s="7"/>
      <c r="K28" s="7"/>
      <c r="L28" s="7"/>
      <c r="M28" s="576"/>
      <c r="N28" s="576"/>
      <c r="O28" s="576"/>
      <c r="P28" s="576"/>
      <c r="Q28" s="576"/>
      <c r="R28" s="574"/>
      <c r="S28" s="537"/>
      <c r="T28" s="573"/>
      <c r="U28" s="573"/>
      <c r="V28" s="573"/>
      <c r="W28" s="573"/>
      <c r="X28" s="573"/>
      <c r="Y28" s="573"/>
      <c r="Z28" s="573"/>
      <c r="AA28" s="573"/>
      <c r="AB28" s="537"/>
      <c r="AC28" s="574"/>
      <c r="AD28" s="574"/>
      <c r="AE28" s="574"/>
      <c r="AF28" s="574"/>
      <c r="AG28" s="537"/>
      <c r="AH28" s="573"/>
      <c r="AI28" s="573"/>
      <c r="AJ28" s="573"/>
      <c r="AK28" s="573"/>
      <c r="AL28" s="573"/>
      <c r="AM28" s="573"/>
      <c r="AN28" s="573"/>
      <c r="AO28" s="573"/>
      <c r="AP28" s="537"/>
      <c r="AQ28" s="576"/>
      <c r="AR28" s="576"/>
      <c r="AS28" s="576"/>
      <c r="AT28" s="576"/>
      <c r="AU28" s="576"/>
      <c r="AV28" s="573"/>
      <c r="AW28" s="573"/>
      <c r="AX28" s="573"/>
      <c r="AY28" s="573"/>
      <c r="AZ28" s="573"/>
      <c r="BA28" s="573"/>
      <c r="BB28" s="573"/>
      <c r="BC28" s="573"/>
      <c r="BD28" s="573"/>
      <c r="BE28" s="573"/>
      <c r="BF28" s="573"/>
      <c r="BG28" s="573"/>
      <c r="BH28" s="573"/>
      <c r="BI28" s="573"/>
      <c r="BJ28" s="573"/>
      <c r="BK28" s="573"/>
      <c r="BL28" s="573"/>
      <c r="BM28" s="573"/>
      <c r="BN28" s="573"/>
      <c r="BO28" s="573"/>
      <c r="BP28" s="573"/>
      <c r="BQ28" s="573"/>
      <c r="BR28" s="573"/>
      <c r="BS28" s="573"/>
      <c r="BT28" s="573"/>
      <c r="BU28" s="573"/>
      <c r="BV28" s="573"/>
      <c r="BW28" s="573"/>
      <c r="BX28" s="573"/>
      <c r="BY28" s="573"/>
      <c r="BZ28" s="573"/>
      <c r="CA28" s="573"/>
      <c r="CB28" s="573"/>
      <c r="CC28" s="573"/>
      <c r="CD28" s="573"/>
      <c r="CE28" s="573"/>
      <c r="CF28" s="573"/>
      <c r="CG28" s="573"/>
      <c r="CH28" s="573"/>
      <c r="CI28" s="573"/>
      <c r="CJ28" s="573"/>
      <c r="CK28" s="573"/>
      <c r="CL28" s="573"/>
      <c r="CM28" s="537"/>
      <c r="CN28" s="573"/>
      <c r="CO28" s="573"/>
      <c r="CP28" s="573"/>
      <c r="CQ28" s="573"/>
      <c r="CR28" s="573"/>
      <c r="CS28" s="573"/>
      <c r="CT28" s="573"/>
      <c r="CU28" s="573"/>
      <c r="CV28" s="537"/>
      <c r="CW28" s="573"/>
      <c r="CX28" s="573"/>
      <c r="CY28" s="573"/>
      <c r="CZ28" s="573"/>
      <c r="DA28" s="573"/>
      <c r="DB28" s="573"/>
      <c r="DC28" s="573"/>
      <c r="DD28" s="573"/>
      <c r="DE28" s="537"/>
      <c r="DF28" s="573"/>
      <c r="DG28" s="573"/>
      <c r="DH28" s="573"/>
      <c r="DI28" s="573"/>
      <c r="DJ28" s="573"/>
      <c r="DK28" s="573"/>
      <c r="DL28" s="573"/>
      <c r="DM28" s="573"/>
      <c r="DO28" s="39"/>
    </row>
    <row r="29" spans="2:124" x14ac:dyDescent="0.3">
      <c r="B29" s="7"/>
      <c r="C29" s="7"/>
      <c r="D29" s="7"/>
      <c r="E29" s="7"/>
      <c r="F29" s="7"/>
      <c r="G29" s="7"/>
      <c r="H29" s="7"/>
      <c r="I29" s="7"/>
      <c r="J29" s="7"/>
      <c r="K29" s="7"/>
      <c r="L29" s="7"/>
      <c r="M29" s="7"/>
      <c r="N29" s="7"/>
      <c r="O29" s="7"/>
      <c r="P29" s="7"/>
      <c r="Q29" s="7"/>
      <c r="R29" s="46"/>
      <c r="T29" s="47">
        <f t="shared" ref="T29:T37" si="8">J29*$R29</f>
        <v>0</v>
      </c>
      <c r="U29" s="47">
        <f t="shared" ref="U29:U37" si="9">K29*$R29</f>
        <v>0</v>
      </c>
      <c r="V29" s="47">
        <f t="shared" ref="V29:V37" si="10">L29*$R29</f>
        <v>0</v>
      </c>
      <c r="W29" s="47">
        <f t="shared" ref="W29:W37" si="11">M29*$R29</f>
        <v>0</v>
      </c>
      <c r="X29" s="47">
        <f t="shared" ref="X29:X37" si="12">N29*$R29</f>
        <v>0</v>
      </c>
      <c r="Y29" s="47">
        <f t="shared" ref="Y29:Y37" si="13">O29*$R29</f>
        <v>0</v>
      </c>
      <c r="Z29" s="47">
        <f t="shared" ref="Z29:Z37" si="14">P29*$R29</f>
        <v>0</v>
      </c>
      <c r="AA29" s="47">
        <f t="shared" ref="AA29:AA37" si="15">Q29*$R29</f>
        <v>0</v>
      </c>
      <c r="AC29" s="83">
        <f t="shared" ref="AC29:AF37" si="16">IF($R29="",0,INDEX(Direct_Cost_Splits_Network,MATCH($H29,RIN_Asset_Cat_Network,0),MATCH(AC$4,Direct_Cost_Type,0))*$R29)</f>
        <v>0</v>
      </c>
      <c r="AD29" s="83">
        <f t="shared" si="16"/>
        <v>0</v>
      </c>
      <c r="AE29" s="83">
        <f t="shared" si="16"/>
        <v>0</v>
      </c>
      <c r="AF29" s="83">
        <f t="shared" si="16"/>
        <v>0</v>
      </c>
      <c r="AH29" s="47">
        <f>IF($R29="",0,J29*$AC29*HLOOKUP(AH$6,Escalators!$I$25:$U$30,3,FALSE))</f>
        <v>0</v>
      </c>
      <c r="AI29" s="47">
        <f>IF($R29="",0,K29*$AC29*HLOOKUP(AI$6,Escalators!$I$25:$U$30,3,FALSE))</f>
        <v>0</v>
      </c>
      <c r="AJ29" s="47">
        <f>IF($R29="",0,L29*$AC29*HLOOKUP(AJ$6,Escalators!$I$25:$U$30,3,FALSE))</f>
        <v>0</v>
      </c>
      <c r="AK29" s="47">
        <f>IF($R29="",0,M29*$AC29*HLOOKUP(AK$6,Escalators!$I$25:$U$30,3,FALSE))</f>
        <v>0</v>
      </c>
      <c r="AL29" s="47">
        <f>IF($R29="",0,N29*$AC29*HLOOKUP(AL$6,Escalators!$I$25:$U$30,3,FALSE))</f>
        <v>0</v>
      </c>
      <c r="AM29" s="47">
        <f>IF($R29="",0,O29*$AC29*HLOOKUP(AM$6,Escalators!$I$25:$U$30,3,FALSE))</f>
        <v>0</v>
      </c>
      <c r="AN29" s="47">
        <f>IF($R29="",0,P29*$AC29*HLOOKUP(AN$6,Escalators!$I$25:$U$30,3,FALSE))</f>
        <v>0</v>
      </c>
      <c r="AO29" s="47">
        <f>IF($R29="",0,Q29*$AC29*HLOOKUP(AO$6,Escalators!$I$25:$U$30,3,FALSE))</f>
        <v>0</v>
      </c>
      <c r="AQ29" s="6">
        <f>IF($R29="",0,$J29*$AD29*INDEX(Act_Type_Repex_Splits,MATCH($I29,Act_Type_Repex,0),MATCH(AQ$5,Mat_Type,0))*INDEX(Escalators!$I$44:$Q$49,MATCH(AQ$5,Escalators!$C$44:$C$49,0),MATCH(AQ$6,Escalators!$I$43:$Q$43,0)))</f>
        <v>0</v>
      </c>
      <c r="AR29" s="6">
        <f>IF($R29="",0,$J29*$AD29*INDEX(Act_Type_Repex_Splits,MATCH($I29,Act_Type_Repex,0),MATCH(AR$5,Mat_Type,0))*INDEX(Escalators!$I$44:$Q$49,MATCH(AR$5,Escalators!$C$44:$C$49,0),MATCH(AR$6,Escalators!$I$43:$Q$43,0)))</f>
        <v>0</v>
      </c>
      <c r="AS29" s="6">
        <f>IF($R29="",0,$J29*$AD29*INDEX(Act_Type_Repex_Splits,MATCH($I29,Act_Type_Repex,0),MATCH(AS$5,Mat_Type,0))*INDEX(Escalators!$I$44:$Q$49,MATCH(AS$5,Escalators!$C$44:$C$49,0),MATCH(AS$6,Escalators!$I$43:$Q$43,0)))</f>
        <v>0</v>
      </c>
      <c r="AT29" s="6">
        <f>IF($R29="",0,$J29*$AD29*INDEX(Act_Type_Repex_Splits,MATCH($I29,Act_Type_Repex,0),MATCH(AT$5,Mat_Type,0))*INDEX(Escalators!$I$44:$Q$49,MATCH(AT$5,Escalators!$C$44:$C$49,0),MATCH(AT$6,Escalators!$I$43:$Q$43,0)))</f>
        <v>0</v>
      </c>
      <c r="AU29" s="6">
        <f>IF($R29="",0,$J29*$AD29*INDEX(Act_Type_Repex_Splits,MATCH($I29,Act_Type_Repex,0),MATCH(AU$5,Mat_Type,0))*INDEX(Escalators!$I$44:$Q$49,MATCH(AU$5,Escalators!$C$44:$C$49,0),MATCH(AU$6,Escalators!$I$43:$Q$43,0)))</f>
        <v>0</v>
      </c>
      <c r="AV29" s="47">
        <f t="shared" ref="AV29:AV37" si="17">SUM(AQ29:AU29)</f>
        <v>0</v>
      </c>
      <c r="AW29" s="47">
        <f>IF($R29="",0,$K29*$AD29*INDEX(Act_Type_Repex_Splits,MATCH($I29,Act_Type_Repex,0),MATCH(AW$5,Mat_Type,0))*INDEX(Escalators!$I$44:$U$49,MATCH(AW$5,Escalators!$C$44:$C$49,0),MATCH(AW$6,Escalators!$I$43:$U$43,0)))</f>
        <v>0</v>
      </c>
      <c r="AX29" s="47">
        <f>IF($R29="",0,$K29*$AD29*INDEX(Act_Type_Repex_Splits,MATCH($I29,Act_Type_Repex,0),MATCH(AX$5,Mat_Type,0))*INDEX(Escalators!$I$44:$U$49,MATCH(AX$5,Escalators!$C$44:$C$49,0),MATCH(AX$6,Escalators!$I$43:$U$43,0)))</f>
        <v>0</v>
      </c>
      <c r="AY29" s="47">
        <f>IF($R29="",0,$K29*$AD29*INDEX(Act_Type_Repex_Splits,MATCH($I29,Act_Type_Repex,0),MATCH(AY$5,Mat_Type,0))*INDEX(Escalators!$I$44:$U$49,MATCH(AY$5,Escalators!$C$44:$C$49,0),MATCH(AY$6,Escalators!$I$43:$U$43,0)))</f>
        <v>0</v>
      </c>
      <c r="AZ29" s="47">
        <f>IF($R29="",0,$K29*$AD29*INDEX(Act_Type_Repex_Splits,MATCH($I29,Act_Type_Repex,0),MATCH(AZ$5,Mat_Type,0))*INDEX(Escalators!$I$44:$U$49,MATCH(AZ$5,Escalators!$C$44:$C$49,0),MATCH(AZ$6,Escalators!$I$43:$U$43,0)))</f>
        <v>0</v>
      </c>
      <c r="BA29" s="47">
        <f>IF($R29="",0,$K29*$AD29*INDEX(Act_Type_Repex_Splits,MATCH($I29,Act_Type_Repex,0),MATCH(BA$5,Mat_Type,0))*INDEX(Escalators!$I$44:$U$49,MATCH(BA$5,Escalators!$C$44:$C$49,0),MATCH(BA$6,Escalators!$I$43:$U$43,0)))</f>
        <v>0</v>
      </c>
      <c r="BB29" s="47">
        <f t="shared" ref="BB29:BB37" si="18">SUM(AW29:BA29)</f>
        <v>0</v>
      </c>
      <c r="BC29" s="47">
        <f>IF($R29="",0,$L29*$AD29*INDEX(Act_Type_Repex_Splits,MATCH($I29,Act_Type_Repex,0),MATCH(BC$5,Mat_Type,0))*INDEX(Escalators!$I$44:$U$49,MATCH(BC$5,Escalators!$C$44:$C$49,0),MATCH(BC$6,Escalators!$I$43:$U$43,0)))</f>
        <v>0</v>
      </c>
      <c r="BD29" s="47">
        <f>IF($R29="",0,$L29*$AD29*INDEX(Act_Type_Repex_Splits,MATCH($I29,Act_Type_Repex,0),MATCH(BD$5,Mat_Type,0))*INDEX(Escalators!$I$44:$U$49,MATCH(BD$5,Escalators!$C$44:$C$49,0),MATCH(BD$6,Escalators!$I$43:$U$43,0)))</f>
        <v>0</v>
      </c>
      <c r="BE29" s="47">
        <f>IF($R29="",0,$L29*$AD29*INDEX(Act_Type_Repex_Splits,MATCH($I29,Act_Type_Repex,0),MATCH(BE$5,Mat_Type,0))*INDEX(Escalators!$I$44:$U$49,MATCH(BE$5,Escalators!$C$44:$C$49,0),MATCH(BE$6,Escalators!$I$43:$U$43,0)))</f>
        <v>0</v>
      </c>
      <c r="BF29" s="47">
        <f>IF($R29="",0,$L29*$AD29*INDEX(Act_Type_Repex_Splits,MATCH($I29,Act_Type_Repex,0),MATCH(BF$5,Mat_Type,0))*INDEX(Escalators!$I$44:$U$49,MATCH(BF$5,Escalators!$C$44:$C$49,0),MATCH(BF$6,Escalators!$I$43:$U$43,0)))</f>
        <v>0</v>
      </c>
      <c r="BG29" s="47">
        <f>IF($R29="",0,$L29*$AD29*INDEX(Act_Type_Repex_Splits,MATCH($I29,Act_Type_Repex,0),MATCH(BG$5,Mat_Type,0))*INDEX(Escalators!$I$44:$U$49,MATCH(BG$5,Escalators!$C$44:$C$49,0),MATCH(BG$6,Escalators!$I$43:$U$43,0)))</f>
        <v>0</v>
      </c>
      <c r="BH29" s="47">
        <f t="shared" ref="BH29:BH37" si="19">SUM(BC29:BG29)</f>
        <v>0</v>
      </c>
      <c r="BI29" s="47">
        <f>IF($R29="",0,$M29*$AD29*INDEX(Act_Type_Repex_Splits,MATCH($I29,Act_Type_Repex,0),MATCH(BI$5,Mat_Type,0))*INDEX(Escalators!$I$44:$U$49,MATCH(BI$5,Escalators!$C$44:$C$49,0),MATCH(BI$6,Escalators!$I$43:$U$43,0)))</f>
        <v>0</v>
      </c>
      <c r="BJ29" s="47">
        <f>IF($R29="",0,$M29*$AD29*INDEX(Act_Type_Repex_Splits,MATCH($I29,Act_Type_Repex,0),MATCH(BJ$5,Mat_Type,0))*INDEX(Escalators!$I$44:$U$49,MATCH(BJ$5,Escalators!$C$44:$C$49,0),MATCH(BJ$6,Escalators!$I$43:$U$43,0)))</f>
        <v>0</v>
      </c>
      <c r="BK29" s="47">
        <f>IF($R29="",0,$M29*$AD29*INDEX(Act_Type_Repex_Splits,MATCH($I29,Act_Type_Repex,0),MATCH(BK$5,Mat_Type,0))*INDEX(Escalators!$I$44:$U$49,MATCH(BK$5,Escalators!$C$44:$C$49,0),MATCH(BK$6,Escalators!$I$43:$U$43,0)))</f>
        <v>0</v>
      </c>
      <c r="BL29" s="47">
        <f>IF($R29="",0,$M29*$AD29*INDEX(Act_Type_Repex_Splits,MATCH($I29,Act_Type_Repex,0),MATCH(BL$5,Mat_Type,0))*INDEX(Escalators!$I$44:$U$49,MATCH(BL$5,Escalators!$C$44:$C$49,0),MATCH(BL$6,Escalators!$I$43:$U$43,0)))</f>
        <v>0</v>
      </c>
      <c r="BM29" s="47">
        <f>IF($R29="",0,$M29*$AD29*INDEX(Act_Type_Repex_Splits,MATCH($I29,Act_Type_Repex,0),MATCH(BM$5,Mat_Type,0))*INDEX(Escalators!$I$44:$U$49,MATCH(BM$5,Escalators!$C$44:$C$49,0),MATCH(BM$6,Escalators!$I$43:$U$43,0)))</f>
        <v>0</v>
      </c>
      <c r="BN29" s="47">
        <f t="shared" ref="BN29:BN37" si="20">SUM(BI29:BM29)</f>
        <v>0</v>
      </c>
      <c r="BO29" s="47">
        <f>IF($R29="",0,$N29*$AD29*INDEX(Act_Type_Repex_Splits,MATCH($I29,Act_Type_Repex,0),MATCH(BO$5,Mat_Type,0))*INDEX(Escalators!$I$44:$U$49,MATCH(BO$5,Escalators!$C$44:$C$49,0),MATCH(BO$6,Escalators!$I$43:$U$43,0)))</f>
        <v>0</v>
      </c>
      <c r="BP29" s="47">
        <f>IF($R29="",0,$N29*$AD29*INDEX(Act_Type_Repex_Splits,MATCH($I29,Act_Type_Repex,0),MATCH(BP$5,Mat_Type,0))*INDEX(Escalators!$I$44:$U$49,MATCH(BP$5,Escalators!$C$44:$C$49,0),MATCH(BP$6,Escalators!$I$43:$U$43,0)))</f>
        <v>0</v>
      </c>
      <c r="BQ29" s="47">
        <f>IF($R29="",0,$N29*$AD29*INDEX(Act_Type_Repex_Splits,MATCH($I29,Act_Type_Repex,0),MATCH(BQ$5,Mat_Type,0))*INDEX(Escalators!$I$44:$U$49,MATCH(BQ$5,Escalators!$C$44:$C$49,0),MATCH(BQ$6,Escalators!$I$43:$U$43,0)))</f>
        <v>0</v>
      </c>
      <c r="BR29" s="47">
        <f>IF($R29="",0,$N29*$AD29*INDEX(Act_Type_Repex_Splits,MATCH($I29,Act_Type_Repex,0),MATCH(BR$5,Mat_Type,0))*INDEX(Escalators!$I$44:$U$49,MATCH(BR$5,Escalators!$C$44:$C$49,0),MATCH(BR$6,Escalators!$I$43:$U$43,0)))</f>
        <v>0</v>
      </c>
      <c r="BS29" s="47">
        <f>IF($R29="",0,$N29*$AD29*INDEX(Act_Type_Repex_Splits,MATCH($I29,Act_Type_Repex,0),MATCH(BS$5,Mat_Type,0))*INDEX(Escalators!$I$44:$U$49,MATCH(BS$5,Escalators!$C$44:$C$49,0),MATCH(BS$6,Escalators!$I$43:$U$43,0)))</f>
        <v>0</v>
      </c>
      <c r="BT29" s="47">
        <f t="shared" ref="BT29:BT37" si="21">SUM(BO29:BS29)</f>
        <v>0</v>
      </c>
      <c r="BU29" s="47">
        <f>IF($R29="",0,$O29*$AD29*INDEX(Act_Type_Repex_Splits,MATCH($I29,Act_Type_Repex,0),MATCH(BU$5,Mat_Type,0))*INDEX(Escalators!$I$44:$U$49,MATCH(BU$5,Escalators!$C$44:$C$49,0),MATCH(BU$6,Escalators!$I$43:$U$43,0)))</f>
        <v>0</v>
      </c>
      <c r="BV29" s="47">
        <f>IF($R29="",0,$O29*$AD29*INDEX(Act_Type_Repex_Splits,MATCH($I29,Act_Type_Repex,0),MATCH(BV$5,Mat_Type,0))*INDEX(Escalators!$I$44:$U$49,MATCH(BV$5,Escalators!$C$44:$C$49,0),MATCH(BV$6,Escalators!$I$43:$U$43,0)))</f>
        <v>0</v>
      </c>
      <c r="BW29" s="47">
        <f>IF($R29="",0,$O29*$AD29*INDEX(Act_Type_Repex_Splits,MATCH($I29,Act_Type_Repex,0),MATCH(BW$5,Mat_Type,0))*INDEX(Escalators!$I$44:$U$49,MATCH(BW$5,Escalators!$C$44:$C$49,0),MATCH(BW$6,Escalators!$I$43:$U$43,0)))</f>
        <v>0</v>
      </c>
      <c r="BX29" s="47">
        <f>IF($R29="",0,$O29*$AD29*INDEX(Act_Type_Repex_Splits,MATCH($I29,Act_Type_Repex,0),MATCH(BX$5,Mat_Type,0))*INDEX(Escalators!$I$44:$U$49,MATCH(BX$5,Escalators!$C$44:$C$49,0),MATCH(BX$6,Escalators!$I$43:$U$43,0)))</f>
        <v>0</v>
      </c>
      <c r="BY29" s="47">
        <f>IF($R29="",0,$O29*$AD29*INDEX(Act_Type_Repex_Splits,MATCH($I29,Act_Type_Repex,0),MATCH(BY$5,Mat_Type,0))*INDEX(Escalators!$I$44:$U$49,MATCH(BY$5,Escalators!$C$44:$C$49,0),MATCH(BY$6,Escalators!$I$43:$U$43,0)))</f>
        <v>0</v>
      </c>
      <c r="BZ29" s="47">
        <f t="shared" ref="BZ29:BZ37" si="22">SUM(BU29:BY29)</f>
        <v>0</v>
      </c>
      <c r="CA29" s="47">
        <f>IF($R29="",0,$P29*$AD29*INDEX(Act_Type_Repex_Splits,MATCH($I29,Act_Type_Repex,0),MATCH(CA$5,Mat_Type,0))*INDEX(Escalators!$I$44:$U$49,MATCH(CA$5,Escalators!$C$44:$C$49,0),MATCH(CA$6,Escalators!$I$43:$U$43,0)))</f>
        <v>0</v>
      </c>
      <c r="CB29" s="47">
        <f>IF($R29="",0,$P29*$AD29*INDEX(Act_Type_Repex_Splits,MATCH($I29,Act_Type_Repex,0),MATCH(CB$5,Mat_Type,0))*INDEX(Escalators!$I$44:$U$49,MATCH(CB$5,Escalators!$C$44:$C$49,0),MATCH(CB$6,Escalators!$I$43:$U$43,0)))</f>
        <v>0</v>
      </c>
      <c r="CC29" s="47">
        <f>IF($R29="",0,$P29*$AD29*INDEX(Act_Type_Repex_Splits,MATCH($I29,Act_Type_Repex,0),MATCH(CC$5,Mat_Type,0))*INDEX(Escalators!$I$44:$U$49,MATCH(CC$5,Escalators!$C$44:$C$49,0),MATCH(CC$6,Escalators!$I$43:$U$43,0)))</f>
        <v>0</v>
      </c>
      <c r="CD29" s="47">
        <f>IF($R29="",0,$P29*$AD29*INDEX(Act_Type_Repex_Splits,MATCH($I29,Act_Type_Repex,0),MATCH(CD$5,Mat_Type,0))*INDEX(Escalators!$I$44:$U$49,MATCH(CD$5,Escalators!$C$44:$C$49,0),MATCH(CD$6,Escalators!$I$43:$U$43,0)))</f>
        <v>0</v>
      </c>
      <c r="CE29" s="47">
        <f>IF($R29="",0,$P29*$AD29*INDEX(Act_Type_Repex_Splits,MATCH($I29,Act_Type_Repex,0),MATCH(CE$5,Mat_Type,0))*INDEX(Escalators!$I$44:$U$49,MATCH(CE$5,Escalators!$C$44:$C$49,0),MATCH(CE$6,Escalators!$I$43:$U$43,0)))</f>
        <v>0</v>
      </c>
      <c r="CF29" s="47">
        <f t="shared" ref="CF29:CF37" si="23">SUM(CA29:CE29)</f>
        <v>0</v>
      </c>
      <c r="CG29" s="47">
        <f>IF($R29="",0,$Q29*$AD29*INDEX(Act_Type_Repex_Splits,MATCH($I29,Act_Type_Repex,0),MATCH(CG$5,Mat_Type,0))*INDEX(Escalators!$I$44:$U$49,MATCH(CG$5,Escalators!$C$44:$C$49,0),MATCH(CG$6,Escalators!$I$43:$U$43,0)))</f>
        <v>0</v>
      </c>
      <c r="CH29" s="47">
        <f>IF($R29="",0,$Q29*$AD29*INDEX(Act_Type_Repex_Splits,MATCH($I29,Act_Type_Repex,0),MATCH(CH$5,Mat_Type,0))*INDEX(Escalators!$I$44:$U$49,MATCH(CH$5,Escalators!$C$44:$C$49,0),MATCH(CH$6,Escalators!$I$43:$U$43,0)))</f>
        <v>0</v>
      </c>
      <c r="CI29" s="47">
        <f>IF($R29="",0,$Q29*$AD29*INDEX(Act_Type_Repex_Splits,MATCH($I29,Act_Type_Repex,0),MATCH(CI$5,Mat_Type,0))*INDEX(Escalators!$I$44:$U$49,MATCH(CI$5,Escalators!$C$44:$C$49,0),MATCH(CI$6,Escalators!$I$43:$U$43,0)))</f>
        <v>0</v>
      </c>
      <c r="CJ29" s="47">
        <f>IF($R29="",0,$Q29*$AD29*INDEX(Act_Type_Repex_Splits,MATCH($I29,Act_Type_Repex,0),MATCH(CJ$5,Mat_Type,0))*INDEX(Escalators!$I$44:$U$49,MATCH(CJ$5,Escalators!$C$44:$C$49,0),MATCH(CJ$6,Escalators!$I$43:$U$43,0)))</f>
        <v>0</v>
      </c>
      <c r="CK29" s="47">
        <f>IF($R29="",0,$Q29*$AD29*INDEX(Act_Type_Repex_Splits,MATCH($I29,Act_Type_Repex,0),MATCH(CK$5,Mat_Type,0))*INDEX(Escalators!$I$44:$U$49,MATCH(CK$5,Escalators!$C$44:$C$49,0),MATCH(CK$6,Escalators!$I$43:$U$43,0)))</f>
        <v>0</v>
      </c>
      <c r="CL29" s="47">
        <f t="shared" ref="CL29:CL37" si="24">SUM(CG29:CK29)</f>
        <v>0</v>
      </c>
      <c r="CN29" s="47">
        <f>IF($R29="",0,J29*$AE29*HLOOKUP(CN$6,Escalators!$I$25:$U$30,6,FALSE))</f>
        <v>0</v>
      </c>
      <c r="CO29" s="47">
        <f>IF($R29="",0,K29*$AE29*HLOOKUP(CO$6,Escalators!$I$25:$U$30,6,FALSE))</f>
        <v>0</v>
      </c>
      <c r="CP29" s="47">
        <f>IF($R29="",0,L29*$AE29*HLOOKUP(CP$6,Escalators!$I$25:$U$30,6,FALSE))</f>
        <v>0</v>
      </c>
      <c r="CQ29" s="47">
        <f>IF($R29="",0,M29*$AE29*HLOOKUP(CQ$6,Escalators!$I$25:$U$30,6,FALSE))</f>
        <v>0</v>
      </c>
      <c r="CR29" s="47">
        <f>IF($R29="",0,N29*$AE29*HLOOKUP(CR$6,Escalators!$I$25:$U$30,6,FALSE))</f>
        <v>0</v>
      </c>
      <c r="CS29" s="47">
        <f>IF($R29="",0,O29*$AE29*HLOOKUP(CS$6,Escalators!$I$25:$U$30,6,FALSE))</f>
        <v>0</v>
      </c>
      <c r="CT29" s="47">
        <f>IF($R29="",0,P29*$AE29*HLOOKUP(CT$6,Escalators!$I$25:$U$30,6,FALSE))</f>
        <v>0</v>
      </c>
      <c r="CU29" s="47">
        <f>IF($R29="",0,Q29*$AE29*HLOOKUP(CU$6,Escalators!$I$25:$U$30,6,FALSE))</f>
        <v>0</v>
      </c>
      <c r="CW29" s="47">
        <f t="shared" ref="CW29:CW37" si="25">IF($R29="",0,J29*$AF29)</f>
        <v>0</v>
      </c>
      <c r="CX29" s="47">
        <f t="shared" ref="CX29:CX37" si="26">IF($R29="",0,K29*$AF29)</f>
        <v>0</v>
      </c>
      <c r="CY29" s="47">
        <f t="shared" ref="CY29:CY37" si="27">IF($R29="",0,L29*$AF29)</f>
        <v>0</v>
      </c>
      <c r="CZ29" s="47">
        <f t="shared" ref="CZ29:CZ37" si="28">IF($R29="",0,M29*$AF29)</f>
        <v>0</v>
      </c>
      <c r="DA29" s="47">
        <f t="shared" ref="DA29:DA37" si="29">IF($R29="",0,N29*$AF29)</f>
        <v>0</v>
      </c>
      <c r="DB29" s="47">
        <f t="shared" ref="DB29:DB37" si="30">IF($R29="",0,O29*$AF29)</f>
        <v>0</v>
      </c>
      <c r="DC29" s="47">
        <f t="shared" ref="DC29:DC37" si="31">IF($R29="",0,P29*$AF29)</f>
        <v>0</v>
      </c>
      <c r="DD29" s="47">
        <f t="shared" ref="DD29:DD37" si="32">IF($R29="",0,Q29*$AF29)</f>
        <v>0</v>
      </c>
      <c r="DF29" s="47">
        <f t="shared" ref="DF29:DF37" si="33">AH29+AV29+CN29+CW29</f>
        <v>0</v>
      </c>
      <c r="DG29" s="47">
        <f t="shared" ref="DG29:DG37" si="34">AI29+BB29+CO29+CX29</f>
        <v>0</v>
      </c>
      <c r="DH29" s="47">
        <f t="shared" ref="DH29:DH37" si="35">AJ29+BH29+CP29+CY29</f>
        <v>0</v>
      </c>
      <c r="DI29" s="47">
        <f t="shared" ref="DI29:DI37" si="36">AK29+BN29+CQ29+CZ29</f>
        <v>0</v>
      </c>
      <c r="DJ29" s="47">
        <f t="shared" ref="DJ29:DJ37" si="37">AL29+BT29+CR29+DA29</f>
        <v>0</v>
      </c>
      <c r="DK29" s="47">
        <f t="shared" ref="DK29:DK37" si="38">AM29+BZ29+CS29+DB29</f>
        <v>0</v>
      </c>
      <c r="DL29" s="47">
        <f t="shared" ref="DL29:DL37" si="39">AN29+CF29+CT29+DC29</f>
        <v>0</v>
      </c>
      <c r="DM29" s="47">
        <f t="shared" ref="DM29:DM37" si="40">AO29+CL29+CU29+DD29</f>
        <v>0</v>
      </c>
      <c r="DO29" s="39"/>
    </row>
    <row r="30" spans="2:124" x14ac:dyDescent="0.3">
      <c r="B30" s="7"/>
      <c r="C30" s="7"/>
      <c r="D30" s="7"/>
      <c r="E30" s="7"/>
      <c r="F30" s="7"/>
      <c r="G30" s="7"/>
      <c r="H30" s="7"/>
      <c r="I30" s="7"/>
      <c r="J30" s="7"/>
      <c r="K30" s="7"/>
      <c r="L30" s="7"/>
      <c r="M30" s="7"/>
      <c r="N30" s="7"/>
      <c r="O30" s="7"/>
      <c r="P30" s="7"/>
      <c r="Q30" s="7"/>
      <c r="R30" s="46"/>
      <c r="T30" s="47">
        <f t="shared" si="8"/>
        <v>0</v>
      </c>
      <c r="U30" s="47">
        <f t="shared" si="9"/>
        <v>0</v>
      </c>
      <c r="V30" s="47">
        <f t="shared" si="10"/>
        <v>0</v>
      </c>
      <c r="W30" s="47">
        <f t="shared" si="11"/>
        <v>0</v>
      </c>
      <c r="X30" s="47">
        <f t="shared" si="12"/>
        <v>0</v>
      </c>
      <c r="Y30" s="47">
        <f t="shared" si="13"/>
        <v>0</v>
      </c>
      <c r="Z30" s="47">
        <f t="shared" si="14"/>
        <v>0</v>
      </c>
      <c r="AA30" s="47">
        <f t="shared" si="15"/>
        <v>0</v>
      </c>
      <c r="AC30" s="83">
        <f t="shared" si="16"/>
        <v>0</v>
      </c>
      <c r="AD30" s="83">
        <f t="shared" si="16"/>
        <v>0</v>
      </c>
      <c r="AE30" s="83">
        <f t="shared" si="16"/>
        <v>0</v>
      </c>
      <c r="AF30" s="83">
        <f t="shared" si="16"/>
        <v>0</v>
      </c>
      <c r="AH30" s="47">
        <f>IF($R30="",0,J30*$AC30*HLOOKUP(AH$6,Escalators!$I$25:$U$30,3,FALSE))</f>
        <v>0</v>
      </c>
      <c r="AI30" s="47">
        <f>IF($R30="",0,K30*$AC30*HLOOKUP(AI$6,Escalators!$I$25:$U$30,3,FALSE))</f>
        <v>0</v>
      </c>
      <c r="AJ30" s="47">
        <f>IF($R30="",0,L30*$AC30*HLOOKUP(AJ$6,Escalators!$I$25:$U$30,3,FALSE))</f>
        <v>0</v>
      </c>
      <c r="AK30" s="47">
        <f>IF($R30="",0,M30*$AC30*HLOOKUP(AK$6,Escalators!$I$25:$U$30,3,FALSE))</f>
        <v>0</v>
      </c>
      <c r="AL30" s="47">
        <f>IF($R30="",0,N30*$AC30*HLOOKUP(AL$6,Escalators!$I$25:$U$30,3,FALSE))</f>
        <v>0</v>
      </c>
      <c r="AM30" s="47">
        <f>IF($R30="",0,O30*$AC30*HLOOKUP(AM$6,Escalators!$I$25:$U$30,3,FALSE))</f>
        <v>0</v>
      </c>
      <c r="AN30" s="47">
        <f>IF($R30="",0,P30*$AC30*HLOOKUP(AN$6,Escalators!$I$25:$U$30,3,FALSE))</f>
        <v>0</v>
      </c>
      <c r="AO30" s="47">
        <f>IF($R30="",0,Q30*$AC30*HLOOKUP(AO$6,Escalators!$I$25:$U$30,3,FALSE))</f>
        <v>0</v>
      </c>
      <c r="AQ30" s="6">
        <f>IF($R30="",0,$J30*$AD30*INDEX(Act_Type_Repex_Splits,MATCH($I30,Act_Type_Repex,0),MATCH(AQ$5,Mat_Type,0))*INDEX(Escalators!$I$44:$Q$49,MATCH(AQ$5,Escalators!$C$44:$C$49,0),MATCH(AQ$6,Escalators!$I$43:$Q$43,0)))</f>
        <v>0</v>
      </c>
      <c r="AR30" s="6">
        <f>IF($R30="",0,$J30*$AD30*INDEX(Act_Type_Repex_Splits,MATCH($I30,Act_Type_Repex,0),MATCH(AR$5,Mat_Type,0))*INDEX(Escalators!$I$44:$Q$49,MATCH(AR$5,Escalators!$C$44:$C$49,0),MATCH(AR$6,Escalators!$I$43:$Q$43,0)))</f>
        <v>0</v>
      </c>
      <c r="AS30" s="6">
        <f>IF($R30="",0,$J30*$AD30*INDEX(Act_Type_Repex_Splits,MATCH($I30,Act_Type_Repex,0),MATCH(AS$5,Mat_Type,0))*INDEX(Escalators!$I$44:$Q$49,MATCH(AS$5,Escalators!$C$44:$C$49,0),MATCH(AS$6,Escalators!$I$43:$Q$43,0)))</f>
        <v>0</v>
      </c>
      <c r="AT30" s="6">
        <f>IF($R30="",0,$J30*$AD30*INDEX(Act_Type_Repex_Splits,MATCH($I30,Act_Type_Repex,0),MATCH(AT$5,Mat_Type,0))*INDEX(Escalators!$I$44:$Q$49,MATCH(AT$5,Escalators!$C$44:$C$49,0),MATCH(AT$6,Escalators!$I$43:$Q$43,0)))</f>
        <v>0</v>
      </c>
      <c r="AU30" s="6">
        <f>IF($R30="",0,$J30*$AD30*INDEX(Act_Type_Repex_Splits,MATCH($I30,Act_Type_Repex,0),MATCH(AU$5,Mat_Type,0))*INDEX(Escalators!$I$44:$Q$49,MATCH(AU$5,Escalators!$C$44:$C$49,0),MATCH(AU$6,Escalators!$I$43:$Q$43,0)))</f>
        <v>0</v>
      </c>
      <c r="AV30" s="47">
        <f t="shared" si="17"/>
        <v>0</v>
      </c>
      <c r="AW30" s="47">
        <f>IF($R30="",0,$K30*$AD30*INDEX(Act_Type_Repex_Splits,MATCH($I30,Act_Type_Repex,0),MATCH(AW$5,Mat_Type,0))*INDEX(Escalators!$I$44:$U$49,MATCH(AW$5,Escalators!$C$44:$C$49,0),MATCH(AW$6,Escalators!$I$43:$U$43,0)))</f>
        <v>0</v>
      </c>
      <c r="AX30" s="47">
        <f>IF($R30="",0,$K30*$AD30*INDEX(Act_Type_Repex_Splits,MATCH($I30,Act_Type_Repex,0),MATCH(AX$5,Mat_Type,0))*INDEX(Escalators!$I$44:$U$49,MATCH(AX$5,Escalators!$C$44:$C$49,0),MATCH(AX$6,Escalators!$I$43:$U$43,0)))</f>
        <v>0</v>
      </c>
      <c r="AY30" s="47">
        <f>IF($R30="",0,$K30*$AD30*INDEX(Act_Type_Repex_Splits,MATCH($I30,Act_Type_Repex,0),MATCH(AY$5,Mat_Type,0))*INDEX(Escalators!$I$44:$U$49,MATCH(AY$5,Escalators!$C$44:$C$49,0),MATCH(AY$6,Escalators!$I$43:$U$43,0)))</f>
        <v>0</v>
      </c>
      <c r="AZ30" s="47">
        <f>IF($R30="",0,$K30*$AD30*INDEX(Act_Type_Repex_Splits,MATCH($I30,Act_Type_Repex,0),MATCH(AZ$5,Mat_Type,0))*INDEX(Escalators!$I$44:$U$49,MATCH(AZ$5,Escalators!$C$44:$C$49,0),MATCH(AZ$6,Escalators!$I$43:$U$43,0)))</f>
        <v>0</v>
      </c>
      <c r="BA30" s="47">
        <f>IF($R30="",0,$K30*$AD30*INDEX(Act_Type_Repex_Splits,MATCH($I30,Act_Type_Repex,0),MATCH(BA$5,Mat_Type,0))*INDEX(Escalators!$I$44:$U$49,MATCH(BA$5,Escalators!$C$44:$C$49,0),MATCH(BA$6,Escalators!$I$43:$U$43,0)))</f>
        <v>0</v>
      </c>
      <c r="BB30" s="47">
        <f t="shared" si="18"/>
        <v>0</v>
      </c>
      <c r="BC30" s="47">
        <f>IF($R30="",0,$L30*$AD30*INDEX(Act_Type_Repex_Splits,MATCH($I30,Act_Type_Repex,0),MATCH(BC$5,Mat_Type,0))*INDEX(Escalators!$I$44:$U$49,MATCH(BC$5,Escalators!$C$44:$C$49,0),MATCH(BC$6,Escalators!$I$43:$U$43,0)))</f>
        <v>0</v>
      </c>
      <c r="BD30" s="47">
        <f>IF($R30="",0,$L30*$AD30*INDEX(Act_Type_Repex_Splits,MATCH($I30,Act_Type_Repex,0),MATCH(BD$5,Mat_Type,0))*INDEX(Escalators!$I$44:$U$49,MATCH(BD$5,Escalators!$C$44:$C$49,0),MATCH(BD$6,Escalators!$I$43:$U$43,0)))</f>
        <v>0</v>
      </c>
      <c r="BE30" s="47">
        <f>IF($R30="",0,$L30*$AD30*INDEX(Act_Type_Repex_Splits,MATCH($I30,Act_Type_Repex,0),MATCH(BE$5,Mat_Type,0))*INDEX(Escalators!$I$44:$U$49,MATCH(BE$5,Escalators!$C$44:$C$49,0),MATCH(BE$6,Escalators!$I$43:$U$43,0)))</f>
        <v>0</v>
      </c>
      <c r="BF30" s="47">
        <f>IF($R30="",0,$L30*$AD30*INDEX(Act_Type_Repex_Splits,MATCH($I30,Act_Type_Repex,0),MATCH(BF$5,Mat_Type,0))*INDEX(Escalators!$I$44:$U$49,MATCH(BF$5,Escalators!$C$44:$C$49,0),MATCH(BF$6,Escalators!$I$43:$U$43,0)))</f>
        <v>0</v>
      </c>
      <c r="BG30" s="47">
        <f>IF($R30="",0,$L30*$AD30*INDEX(Act_Type_Repex_Splits,MATCH($I30,Act_Type_Repex,0),MATCH(BG$5,Mat_Type,0))*INDEX(Escalators!$I$44:$U$49,MATCH(BG$5,Escalators!$C$44:$C$49,0),MATCH(BG$6,Escalators!$I$43:$U$43,0)))</f>
        <v>0</v>
      </c>
      <c r="BH30" s="47">
        <f t="shared" si="19"/>
        <v>0</v>
      </c>
      <c r="BI30" s="47">
        <f>IF($R30="",0,$M30*$AD30*INDEX(Act_Type_Repex_Splits,MATCH($I30,Act_Type_Repex,0),MATCH(BI$5,Mat_Type,0))*INDEX(Escalators!$I$44:$U$49,MATCH(BI$5,Escalators!$C$44:$C$49,0),MATCH(BI$6,Escalators!$I$43:$U$43,0)))</f>
        <v>0</v>
      </c>
      <c r="BJ30" s="47">
        <f>IF($R30="",0,$M30*$AD30*INDEX(Act_Type_Repex_Splits,MATCH($I30,Act_Type_Repex,0),MATCH(BJ$5,Mat_Type,0))*INDEX(Escalators!$I$44:$U$49,MATCH(BJ$5,Escalators!$C$44:$C$49,0),MATCH(BJ$6,Escalators!$I$43:$U$43,0)))</f>
        <v>0</v>
      </c>
      <c r="BK30" s="47">
        <f>IF($R30="",0,$M30*$AD30*INDEX(Act_Type_Repex_Splits,MATCH($I30,Act_Type_Repex,0),MATCH(BK$5,Mat_Type,0))*INDEX(Escalators!$I$44:$U$49,MATCH(BK$5,Escalators!$C$44:$C$49,0),MATCH(BK$6,Escalators!$I$43:$U$43,0)))</f>
        <v>0</v>
      </c>
      <c r="BL30" s="47">
        <f>IF($R30="",0,$M30*$AD30*INDEX(Act_Type_Repex_Splits,MATCH($I30,Act_Type_Repex,0),MATCH(BL$5,Mat_Type,0))*INDEX(Escalators!$I$44:$U$49,MATCH(BL$5,Escalators!$C$44:$C$49,0),MATCH(BL$6,Escalators!$I$43:$U$43,0)))</f>
        <v>0</v>
      </c>
      <c r="BM30" s="47">
        <f>IF($R30="",0,$M30*$AD30*INDEX(Act_Type_Repex_Splits,MATCH($I30,Act_Type_Repex,0),MATCH(BM$5,Mat_Type,0))*INDEX(Escalators!$I$44:$U$49,MATCH(BM$5,Escalators!$C$44:$C$49,0),MATCH(BM$6,Escalators!$I$43:$U$43,0)))</f>
        <v>0</v>
      </c>
      <c r="BN30" s="47">
        <f t="shared" si="20"/>
        <v>0</v>
      </c>
      <c r="BO30" s="47">
        <f>IF($R30="",0,$N30*$AD30*INDEX(Act_Type_Repex_Splits,MATCH($I30,Act_Type_Repex,0),MATCH(BO$5,Mat_Type,0))*INDEX(Escalators!$I$44:$U$49,MATCH(BO$5,Escalators!$C$44:$C$49,0),MATCH(BO$6,Escalators!$I$43:$U$43,0)))</f>
        <v>0</v>
      </c>
      <c r="BP30" s="47">
        <f>IF($R30="",0,$N30*$AD30*INDEX(Act_Type_Repex_Splits,MATCH($I30,Act_Type_Repex,0),MATCH(BP$5,Mat_Type,0))*INDEX(Escalators!$I$44:$U$49,MATCH(BP$5,Escalators!$C$44:$C$49,0),MATCH(BP$6,Escalators!$I$43:$U$43,0)))</f>
        <v>0</v>
      </c>
      <c r="BQ30" s="47">
        <f>IF($R30="",0,$N30*$AD30*INDEX(Act_Type_Repex_Splits,MATCH($I30,Act_Type_Repex,0),MATCH(BQ$5,Mat_Type,0))*INDEX(Escalators!$I$44:$U$49,MATCH(BQ$5,Escalators!$C$44:$C$49,0),MATCH(BQ$6,Escalators!$I$43:$U$43,0)))</f>
        <v>0</v>
      </c>
      <c r="BR30" s="47">
        <f>IF($R30="",0,$N30*$AD30*INDEX(Act_Type_Repex_Splits,MATCH($I30,Act_Type_Repex,0),MATCH(BR$5,Mat_Type,0))*INDEX(Escalators!$I$44:$U$49,MATCH(BR$5,Escalators!$C$44:$C$49,0),MATCH(BR$6,Escalators!$I$43:$U$43,0)))</f>
        <v>0</v>
      </c>
      <c r="BS30" s="47">
        <f>IF($R30="",0,$N30*$AD30*INDEX(Act_Type_Repex_Splits,MATCH($I30,Act_Type_Repex,0),MATCH(BS$5,Mat_Type,0))*INDEX(Escalators!$I$44:$U$49,MATCH(BS$5,Escalators!$C$44:$C$49,0),MATCH(BS$6,Escalators!$I$43:$U$43,0)))</f>
        <v>0</v>
      </c>
      <c r="BT30" s="47">
        <f t="shared" si="21"/>
        <v>0</v>
      </c>
      <c r="BU30" s="47">
        <f>IF($R30="",0,$O30*$AD30*INDEX(Act_Type_Repex_Splits,MATCH($I30,Act_Type_Repex,0),MATCH(BU$5,Mat_Type,0))*INDEX(Escalators!$I$44:$U$49,MATCH(BU$5,Escalators!$C$44:$C$49,0),MATCH(BU$6,Escalators!$I$43:$U$43,0)))</f>
        <v>0</v>
      </c>
      <c r="BV30" s="47">
        <f>IF($R30="",0,$O30*$AD30*INDEX(Act_Type_Repex_Splits,MATCH($I30,Act_Type_Repex,0),MATCH(BV$5,Mat_Type,0))*INDEX(Escalators!$I$44:$U$49,MATCH(BV$5,Escalators!$C$44:$C$49,0),MATCH(BV$6,Escalators!$I$43:$U$43,0)))</f>
        <v>0</v>
      </c>
      <c r="BW30" s="47">
        <f>IF($R30="",0,$O30*$AD30*INDEX(Act_Type_Repex_Splits,MATCH($I30,Act_Type_Repex,0),MATCH(BW$5,Mat_Type,0))*INDEX(Escalators!$I$44:$U$49,MATCH(BW$5,Escalators!$C$44:$C$49,0),MATCH(BW$6,Escalators!$I$43:$U$43,0)))</f>
        <v>0</v>
      </c>
      <c r="BX30" s="47">
        <f>IF($R30="",0,$O30*$AD30*INDEX(Act_Type_Repex_Splits,MATCH($I30,Act_Type_Repex,0),MATCH(BX$5,Mat_Type,0))*INDEX(Escalators!$I$44:$U$49,MATCH(BX$5,Escalators!$C$44:$C$49,0),MATCH(BX$6,Escalators!$I$43:$U$43,0)))</f>
        <v>0</v>
      </c>
      <c r="BY30" s="47">
        <f>IF($R30="",0,$O30*$AD30*INDEX(Act_Type_Repex_Splits,MATCH($I30,Act_Type_Repex,0),MATCH(BY$5,Mat_Type,0))*INDEX(Escalators!$I$44:$U$49,MATCH(BY$5,Escalators!$C$44:$C$49,0),MATCH(BY$6,Escalators!$I$43:$U$43,0)))</f>
        <v>0</v>
      </c>
      <c r="BZ30" s="47">
        <f t="shared" si="22"/>
        <v>0</v>
      </c>
      <c r="CA30" s="47">
        <f>IF($R30="",0,$P30*$AD30*INDEX(Act_Type_Repex_Splits,MATCH($I30,Act_Type_Repex,0),MATCH(CA$5,Mat_Type,0))*INDEX(Escalators!$I$44:$U$49,MATCH(CA$5,Escalators!$C$44:$C$49,0),MATCH(CA$6,Escalators!$I$43:$U$43,0)))</f>
        <v>0</v>
      </c>
      <c r="CB30" s="47">
        <f>IF($R30="",0,$P30*$AD30*INDEX(Act_Type_Repex_Splits,MATCH($I30,Act_Type_Repex,0),MATCH(CB$5,Mat_Type,0))*INDEX(Escalators!$I$44:$U$49,MATCH(CB$5,Escalators!$C$44:$C$49,0),MATCH(CB$6,Escalators!$I$43:$U$43,0)))</f>
        <v>0</v>
      </c>
      <c r="CC30" s="47">
        <f>IF($R30="",0,$P30*$AD30*INDEX(Act_Type_Repex_Splits,MATCH($I30,Act_Type_Repex,0),MATCH(CC$5,Mat_Type,0))*INDEX(Escalators!$I$44:$U$49,MATCH(CC$5,Escalators!$C$44:$C$49,0),MATCH(CC$6,Escalators!$I$43:$U$43,0)))</f>
        <v>0</v>
      </c>
      <c r="CD30" s="47">
        <f>IF($R30="",0,$P30*$AD30*INDEX(Act_Type_Repex_Splits,MATCH($I30,Act_Type_Repex,0),MATCH(CD$5,Mat_Type,0))*INDEX(Escalators!$I$44:$U$49,MATCH(CD$5,Escalators!$C$44:$C$49,0),MATCH(CD$6,Escalators!$I$43:$U$43,0)))</f>
        <v>0</v>
      </c>
      <c r="CE30" s="47">
        <f>IF($R30="",0,$P30*$AD30*INDEX(Act_Type_Repex_Splits,MATCH($I30,Act_Type_Repex,0),MATCH(CE$5,Mat_Type,0))*INDEX(Escalators!$I$44:$U$49,MATCH(CE$5,Escalators!$C$44:$C$49,0),MATCH(CE$6,Escalators!$I$43:$U$43,0)))</f>
        <v>0</v>
      </c>
      <c r="CF30" s="47">
        <f t="shared" si="23"/>
        <v>0</v>
      </c>
      <c r="CG30" s="47">
        <f>IF($R30="",0,$Q30*$AD30*INDEX(Act_Type_Repex_Splits,MATCH($I30,Act_Type_Repex,0),MATCH(CG$5,Mat_Type,0))*INDEX(Escalators!$I$44:$U$49,MATCH(CG$5,Escalators!$C$44:$C$49,0),MATCH(CG$6,Escalators!$I$43:$U$43,0)))</f>
        <v>0</v>
      </c>
      <c r="CH30" s="47">
        <f>IF($R30="",0,$Q30*$AD30*INDEX(Act_Type_Repex_Splits,MATCH($I30,Act_Type_Repex,0),MATCH(CH$5,Mat_Type,0))*INDEX(Escalators!$I$44:$U$49,MATCH(CH$5,Escalators!$C$44:$C$49,0),MATCH(CH$6,Escalators!$I$43:$U$43,0)))</f>
        <v>0</v>
      </c>
      <c r="CI30" s="47">
        <f>IF($R30="",0,$Q30*$AD30*INDEX(Act_Type_Repex_Splits,MATCH($I30,Act_Type_Repex,0),MATCH(CI$5,Mat_Type,0))*INDEX(Escalators!$I$44:$U$49,MATCH(CI$5,Escalators!$C$44:$C$49,0),MATCH(CI$6,Escalators!$I$43:$U$43,0)))</f>
        <v>0</v>
      </c>
      <c r="CJ30" s="47">
        <f>IF($R30="",0,$Q30*$AD30*INDEX(Act_Type_Repex_Splits,MATCH($I30,Act_Type_Repex,0),MATCH(CJ$5,Mat_Type,0))*INDEX(Escalators!$I$44:$U$49,MATCH(CJ$5,Escalators!$C$44:$C$49,0),MATCH(CJ$6,Escalators!$I$43:$U$43,0)))</f>
        <v>0</v>
      </c>
      <c r="CK30" s="47">
        <f>IF($R30="",0,$Q30*$AD30*INDEX(Act_Type_Repex_Splits,MATCH($I30,Act_Type_Repex,0),MATCH(CK$5,Mat_Type,0))*INDEX(Escalators!$I$44:$U$49,MATCH(CK$5,Escalators!$C$44:$C$49,0),MATCH(CK$6,Escalators!$I$43:$U$43,0)))</f>
        <v>0</v>
      </c>
      <c r="CL30" s="47">
        <f t="shared" si="24"/>
        <v>0</v>
      </c>
      <c r="CN30" s="47">
        <f>IF($R30="",0,J30*$AE30*HLOOKUP(CN$6,Escalators!$I$25:$U$30,6,FALSE))</f>
        <v>0</v>
      </c>
      <c r="CO30" s="47">
        <f>IF($R30="",0,K30*$AE30*HLOOKUP(CO$6,Escalators!$I$25:$U$30,6,FALSE))</f>
        <v>0</v>
      </c>
      <c r="CP30" s="47">
        <f>IF($R30="",0,L30*$AE30*HLOOKUP(CP$6,Escalators!$I$25:$U$30,6,FALSE))</f>
        <v>0</v>
      </c>
      <c r="CQ30" s="47">
        <f>IF($R30="",0,M30*$AE30*HLOOKUP(CQ$6,Escalators!$I$25:$U$30,6,FALSE))</f>
        <v>0</v>
      </c>
      <c r="CR30" s="47">
        <f>IF($R30="",0,N30*$AE30*HLOOKUP(CR$6,Escalators!$I$25:$U$30,6,FALSE))</f>
        <v>0</v>
      </c>
      <c r="CS30" s="47">
        <f>IF($R30="",0,O30*$AE30*HLOOKUP(CS$6,Escalators!$I$25:$U$30,6,FALSE))</f>
        <v>0</v>
      </c>
      <c r="CT30" s="47">
        <f>IF($R30="",0,P30*$AE30*HLOOKUP(CT$6,Escalators!$I$25:$U$30,6,FALSE))</f>
        <v>0</v>
      </c>
      <c r="CU30" s="47">
        <f>IF($R30="",0,Q30*$AE30*HLOOKUP(CU$6,Escalators!$I$25:$U$30,6,FALSE))</f>
        <v>0</v>
      </c>
      <c r="CW30" s="47">
        <f t="shared" si="25"/>
        <v>0</v>
      </c>
      <c r="CX30" s="47">
        <f t="shared" si="26"/>
        <v>0</v>
      </c>
      <c r="CY30" s="47">
        <f t="shared" si="27"/>
        <v>0</v>
      </c>
      <c r="CZ30" s="47">
        <f t="shared" si="28"/>
        <v>0</v>
      </c>
      <c r="DA30" s="47">
        <f t="shared" si="29"/>
        <v>0</v>
      </c>
      <c r="DB30" s="47">
        <f t="shared" si="30"/>
        <v>0</v>
      </c>
      <c r="DC30" s="47">
        <f t="shared" si="31"/>
        <v>0</v>
      </c>
      <c r="DD30" s="47">
        <f t="shared" si="32"/>
        <v>0</v>
      </c>
      <c r="DF30" s="47">
        <f t="shared" si="33"/>
        <v>0</v>
      </c>
      <c r="DG30" s="47">
        <f t="shared" si="34"/>
        <v>0</v>
      </c>
      <c r="DH30" s="47">
        <f t="shared" si="35"/>
        <v>0</v>
      </c>
      <c r="DI30" s="47">
        <f t="shared" si="36"/>
        <v>0</v>
      </c>
      <c r="DJ30" s="47">
        <f t="shared" si="37"/>
        <v>0</v>
      </c>
      <c r="DK30" s="47">
        <f t="shared" si="38"/>
        <v>0</v>
      </c>
      <c r="DL30" s="47">
        <f t="shared" si="39"/>
        <v>0</v>
      </c>
      <c r="DM30" s="47">
        <f t="shared" si="40"/>
        <v>0</v>
      </c>
      <c r="DO30" s="39"/>
    </row>
    <row r="31" spans="2:124" x14ac:dyDescent="0.3">
      <c r="B31" s="7"/>
      <c r="C31" s="7"/>
      <c r="D31" s="7"/>
      <c r="E31" s="7"/>
      <c r="F31" s="7"/>
      <c r="G31" s="7"/>
      <c r="H31" s="7"/>
      <c r="I31" s="7"/>
      <c r="J31" s="7"/>
      <c r="K31" s="7"/>
      <c r="L31" s="7"/>
      <c r="M31" s="7"/>
      <c r="N31" s="7"/>
      <c r="O31" s="7"/>
      <c r="P31" s="7"/>
      <c r="Q31" s="7"/>
      <c r="R31" s="46"/>
      <c r="T31" s="47">
        <f t="shared" si="8"/>
        <v>0</v>
      </c>
      <c r="U31" s="47">
        <f t="shared" si="9"/>
        <v>0</v>
      </c>
      <c r="V31" s="47">
        <f t="shared" si="10"/>
        <v>0</v>
      </c>
      <c r="W31" s="47">
        <f t="shared" si="11"/>
        <v>0</v>
      </c>
      <c r="X31" s="47">
        <f t="shared" si="12"/>
        <v>0</v>
      </c>
      <c r="Y31" s="47">
        <f t="shared" si="13"/>
        <v>0</v>
      </c>
      <c r="Z31" s="47">
        <f t="shared" si="14"/>
        <v>0</v>
      </c>
      <c r="AA31" s="47">
        <f t="shared" si="15"/>
        <v>0</v>
      </c>
      <c r="AC31" s="83">
        <f t="shared" si="16"/>
        <v>0</v>
      </c>
      <c r="AD31" s="83">
        <f t="shared" si="16"/>
        <v>0</v>
      </c>
      <c r="AE31" s="83">
        <f t="shared" si="16"/>
        <v>0</v>
      </c>
      <c r="AF31" s="83">
        <f t="shared" si="16"/>
        <v>0</v>
      </c>
      <c r="AH31" s="47">
        <f>IF($R31="",0,J31*$AC31*HLOOKUP(AH$6,Escalators!$I$25:$U$30,3,FALSE))</f>
        <v>0</v>
      </c>
      <c r="AI31" s="47">
        <f>IF($R31="",0,K31*$AC31*HLOOKUP(AI$6,Escalators!$I$25:$U$30,3,FALSE))</f>
        <v>0</v>
      </c>
      <c r="AJ31" s="47">
        <f>IF($R31="",0,L31*$AC31*HLOOKUP(AJ$6,Escalators!$I$25:$U$30,3,FALSE))</f>
        <v>0</v>
      </c>
      <c r="AK31" s="47">
        <f>IF($R31="",0,M31*$AC31*HLOOKUP(AK$6,Escalators!$I$25:$U$30,3,FALSE))</f>
        <v>0</v>
      </c>
      <c r="AL31" s="47">
        <f>IF($R31="",0,N31*$AC31*HLOOKUP(AL$6,Escalators!$I$25:$U$30,3,FALSE))</f>
        <v>0</v>
      </c>
      <c r="AM31" s="47">
        <f>IF($R31="",0,O31*$AC31*HLOOKUP(AM$6,Escalators!$I$25:$U$30,3,FALSE))</f>
        <v>0</v>
      </c>
      <c r="AN31" s="47">
        <f>IF($R31="",0,P31*$AC31*HLOOKUP(AN$6,Escalators!$I$25:$U$30,3,FALSE))</f>
        <v>0</v>
      </c>
      <c r="AO31" s="47">
        <f>IF($R31="",0,Q31*$AC31*HLOOKUP(AO$6,Escalators!$I$25:$U$30,3,FALSE))</f>
        <v>0</v>
      </c>
      <c r="AQ31" s="6">
        <f>IF($R31="",0,$J31*$AD31*INDEX(Act_Type_Repex_Splits,MATCH($I31,Act_Type_Repex,0),MATCH(AQ$5,Mat_Type,0))*INDEX(Escalators!$I$44:$Q$49,MATCH(AQ$5,Escalators!$C$44:$C$49,0),MATCH(AQ$6,Escalators!$I$43:$Q$43,0)))</f>
        <v>0</v>
      </c>
      <c r="AR31" s="6">
        <f>IF($R31="",0,$J31*$AD31*INDEX(Act_Type_Repex_Splits,MATCH($I31,Act_Type_Repex,0),MATCH(AR$5,Mat_Type,0))*INDEX(Escalators!$I$44:$Q$49,MATCH(AR$5,Escalators!$C$44:$C$49,0),MATCH(AR$6,Escalators!$I$43:$Q$43,0)))</f>
        <v>0</v>
      </c>
      <c r="AS31" s="6">
        <f>IF($R31="",0,$J31*$AD31*INDEX(Act_Type_Repex_Splits,MATCH($I31,Act_Type_Repex,0),MATCH(AS$5,Mat_Type,0))*INDEX(Escalators!$I$44:$Q$49,MATCH(AS$5,Escalators!$C$44:$C$49,0),MATCH(AS$6,Escalators!$I$43:$Q$43,0)))</f>
        <v>0</v>
      </c>
      <c r="AT31" s="6">
        <f>IF($R31="",0,$J31*$AD31*INDEX(Act_Type_Repex_Splits,MATCH($I31,Act_Type_Repex,0),MATCH(AT$5,Mat_Type,0))*INDEX(Escalators!$I$44:$Q$49,MATCH(AT$5,Escalators!$C$44:$C$49,0),MATCH(AT$6,Escalators!$I$43:$Q$43,0)))</f>
        <v>0</v>
      </c>
      <c r="AU31" s="6">
        <f>IF($R31="",0,$J31*$AD31*INDEX(Act_Type_Repex_Splits,MATCH($I31,Act_Type_Repex,0),MATCH(AU$5,Mat_Type,0))*INDEX(Escalators!$I$44:$Q$49,MATCH(AU$5,Escalators!$C$44:$C$49,0),MATCH(AU$6,Escalators!$I$43:$Q$43,0)))</f>
        <v>0</v>
      </c>
      <c r="AV31" s="47">
        <f t="shared" si="17"/>
        <v>0</v>
      </c>
      <c r="AW31" s="47">
        <f>IF($R31="",0,$K31*$AD31*INDEX(Act_Type_Repex_Splits,MATCH($I31,Act_Type_Repex,0),MATCH(AW$5,Mat_Type,0))*INDEX(Escalators!$I$44:$U$49,MATCH(AW$5,Escalators!$C$44:$C$49,0),MATCH(AW$6,Escalators!$I$43:$U$43,0)))</f>
        <v>0</v>
      </c>
      <c r="AX31" s="47">
        <f>IF($R31="",0,$K31*$AD31*INDEX(Act_Type_Repex_Splits,MATCH($I31,Act_Type_Repex,0),MATCH(AX$5,Mat_Type,0))*INDEX(Escalators!$I$44:$U$49,MATCH(AX$5,Escalators!$C$44:$C$49,0),MATCH(AX$6,Escalators!$I$43:$U$43,0)))</f>
        <v>0</v>
      </c>
      <c r="AY31" s="47">
        <f>IF($R31="",0,$K31*$AD31*INDEX(Act_Type_Repex_Splits,MATCH($I31,Act_Type_Repex,0),MATCH(AY$5,Mat_Type,0))*INDEX(Escalators!$I$44:$U$49,MATCH(AY$5,Escalators!$C$44:$C$49,0),MATCH(AY$6,Escalators!$I$43:$U$43,0)))</f>
        <v>0</v>
      </c>
      <c r="AZ31" s="47">
        <f>IF($R31="",0,$K31*$AD31*INDEX(Act_Type_Repex_Splits,MATCH($I31,Act_Type_Repex,0),MATCH(AZ$5,Mat_Type,0))*INDEX(Escalators!$I$44:$U$49,MATCH(AZ$5,Escalators!$C$44:$C$49,0),MATCH(AZ$6,Escalators!$I$43:$U$43,0)))</f>
        <v>0</v>
      </c>
      <c r="BA31" s="47">
        <f>IF($R31="",0,$K31*$AD31*INDEX(Act_Type_Repex_Splits,MATCH($I31,Act_Type_Repex,0),MATCH(BA$5,Mat_Type,0))*INDEX(Escalators!$I$44:$U$49,MATCH(BA$5,Escalators!$C$44:$C$49,0),MATCH(BA$6,Escalators!$I$43:$U$43,0)))</f>
        <v>0</v>
      </c>
      <c r="BB31" s="47">
        <f t="shared" si="18"/>
        <v>0</v>
      </c>
      <c r="BC31" s="47">
        <f>IF($R31="",0,$L31*$AD31*INDEX(Act_Type_Repex_Splits,MATCH($I31,Act_Type_Repex,0),MATCH(BC$5,Mat_Type,0))*INDEX(Escalators!$I$44:$U$49,MATCH(BC$5,Escalators!$C$44:$C$49,0),MATCH(BC$6,Escalators!$I$43:$U$43,0)))</f>
        <v>0</v>
      </c>
      <c r="BD31" s="47">
        <f>IF($R31="",0,$L31*$AD31*INDEX(Act_Type_Repex_Splits,MATCH($I31,Act_Type_Repex,0),MATCH(BD$5,Mat_Type,0))*INDEX(Escalators!$I$44:$U$49,MATCH(BD$5,Escalators!$C$44:$C$49,0),MATCH(BD$6,Escalators!$I$43:$U$43,0)))</f>
        <v>0</v>
      </c>
      <c r="BE31" s="47">
        <f>IF($R31="",0,$L31*$AD31*INDEX(Act_Type_Repex_Splits,MATCH($I31,Act_Type_Repex,0),MATCH(BE$5,Mat_Type,0))*INDEX(Escalators!$I$44:$U$49,MATCH(BE$5,Escalators!$C$44:$C$49,0),MATCH(BE$6,Escalators!$I$43:$U$43,0)))</f>
        <v>0</v>
      </c>
      <c r="BF31" s="47">
        <f>IF($R31="",0,$L31*$AD31*INDEX(Act_Type_Repex_Splits,MATCH($I31,Act_Type_Repex,0),MATCH(BF$5,Mat_Type,0))*INDEX(Escalators!$I$44:$U$49,MATCH(BF$5,Escalators!$C$44:$C$49,0),MATCH(BF$6,Escalators!$I$43:$U$43,0)))</f>
        <v>0</v>
      </c>
      <c r="BG31" s="47">
        <f>IF($R31="",0,$L31*$AD31*INDEX(Act_Type_Repex_Splits,MATCH($I31,Act_Type_Repex,0),MATCH(BG$5,Mat_Type,0))*INDEX(Escalators!$I$44:$U$49,MATCH(BG$5,Escalators!$C$44:$C$49,0),MATCH(BG$6,Escalators!$I$43:$U$43,0)))</f>
        <v>0</v>
      </c>
      <c r="BH31" s="47">
        <f t="shared" si="19"/>
        <v>0</v>
      </c>
      <c r="BI31" s="47">
        <f>IF($R31="",0,$M31*$AD31*INDEX(Act_Type_Repex_Splits,MATCH($I31,Act_Type_Repex,0),MATCH(BI$5,Mat_Type,0))*INDEX(Escalators!$I$44:$U$49,MATCH(BI$5,Escalators!$C$44:$C$49,0),MATCH(BI$6,Escalators!$I$43:$U$43,0)))</f>
        <v>0</v>
      </c>
      <c r="BJ31" s="47">
        <f>IF($R31="",0,$M31*$AD31*INDEX(Act_Type_Repex_Splits,MATCH($I31,Act_Type_Repex,0),MATCH(BJ$5,Mat_Type,0))*INDEX(Escalators!$I$44:$U$49,MATCH(BJ$5,Escalators!$C$44:$C$49,0),MATCH(BJ$6,Escalators!$I$43:$U$43,0)))</f>
        <v>0</v>
      </c>
      <c r="BK31" s="47">
        <f>IF($R31="",0,$M31*$AD31*INDEX(Act_Type_Repex_Splits,MATCH($I31,Act_Type_Repex,0),MATCH(BK$5,Mat_Type,0))*INDEX(Escalators!$I$44:$U$49,MATCH(BK$5,Escalators!$C$44:$C$49,0),MATCH(BK$6,Escalators!$I$43:$U$43,0)))</f>
        <v>0</v>
      </c>
      <c r="BL31" s="47">
        <f>IF($R31="",0,$M31*$AD31*INDEX(Act_Type_Repex_Splits,MATCH($I31,Act_Type_Repex,0),MATCH(BL$5,Mat_Type,0))*INDEX(Escalators!$I$44:$U$49,MATCH(BL$5,Escalators!$C$44:$C$49,0),MATCH(BL$6,Escalators!$I$43:$U$43,0)))</f>
        <v>0</v>
      </c>
      <c r="BM31" s="47">
        <f>IF($R31="",0,$M31*$AD31*INDEX(Act_Type_Repex_Splits,MATCH($I31,Act_Type_Repex,0),MATCH(BM$5,Mat_Type,0))*INDEX(Escalators!$I$44:$U$49,MATCH(BM$5,Escalators!$C$44:$C$49,0),MATCH(BM$6,Escalators!$I$43:$U$43,0)))</f>
        <v>0</v>
      </c>
      <c r="BN31" s="47">
        <f t="shared" si="20"/>
        <v>0</v>
      </c>
      <c r="BO31" s="47">
        <f>IF($R31="",0,$N31*$AD31*INDEX(Act_Type_Repex_Splits,MATCH($I31,Act_Type_Repex,0),MATCH(BO$5,Mat_Type,0))*INDEX(Escalators!$I$44:$U$49,MATCH(BO$5,Escalators!$C$44:$C$49,0),MATCH(BO$6,Escalators!$I$43:$U$43,0)))</f>
        <v>0</v>
      </c>
      <c r="BP31" s="47">
        <f>IF($R31="",0,$N31*$AD31*INDEX(Act_Type_Repex_Splits,MATCH($I31,Act_Type_Repex,0),MATCH(BP$5,Mat_Type,0))*INDEX(Escalators!$I$44:$U$49,MATCH(BP$5,Escalators!$C$44:$C$49,0),MATCH(BP$6,Escalators!$I$43:$U$43,0)))</f>
        <v>0</v>
      </c>
      <c r="BQ31" s="47">
        <f>IF($R31="",0,$N31*$AD31*INDEX(Act_Type_Repex_Splits,MATCH($I31,Act_Type_Repex,0),MATCH(BQ$5,Mat_Type,0))*INDEX(Escalators!$I$44:$U$49,MATCH(BQ$5,Escalators!$C$44:$C$49,0),MATCH(BQ$6,Escalators!$I$43:$U$43,0)))</f>
        <v>0</v>
      </c>
      <c r="BR31" s="47">
        <f>IF($R31="",0,$N31*$AD31*INDEX(Act_Type_Repex_Splits,MATCH($I31,Act_Type_Repex,0),MATCH(BR$5,Mat_Type,0))*INDEX(Escalators!$I$44:$U$49,MATCH(BR$5,Escalators!$C$44:$C$49,0),MATCH(BR$6,Escalators!$I$43:$U$43,0)))</f>
        <v>0</v>
      </c>
      <c r="BS31" s="47">
        <f>IF($R31="",0,$N31*$AD31*INDEX(Act_Type_Repex_Splits,MATCH($I31,Act_Type_Repex,0),MATCH(BS$5,Mat_Type,0))*INDEX(Escalators!$I$44:$U$49,MATCH(BS$5,Escalators!$C$44:$C$49,0),MATCH(BS$6,Escalators!$I$43:$U$43,0)))</f>
        <v>0</v>
      </c>
      <c r="BT31" s="47">
        <f t="shared" si="21"/>
        <v>0</v>
      </c>
      <c r="BU31" s="47">
        <f>IF($R31="",0,$O31*$AD31*INDEX(Act_Type_Repex_Splits,MATCH($I31,Act_Type_Repex,0),MATCH(BU$5,Mat_Type,0))*INDEX(Escalators!$I$44:$U$49,MATCH(BU$5,Escalators!$C$44:$C$49,0),MATCH(BU$6,Escalators!$I$43:$U$43,0)))</f>
        <v>0</v>
      </c>
      <c r="BV31" s="47">
        <f>IF($R31="",0,$O31*$AD31*INDEX(Act_Type_Repex_Splits,MATCH($I31,Act_Type_Repex,0),MATCH(BV$5,Mat_Type,0))*INDEX(Escalators!$I$44:$U$49,MATCH(BV$5,Escalators!$C$44:$C$49,0),MATCH(BV$6,Escalators!$I$43:$U$43,0)))</f>
        <v>0</v>
      </c>
      <c r="BW31" s="47">
        <f>IF($R31="",0,$O31*$AD31*INDEX(Act_Type_Repex_Splits,MATCH($I31,Act_Type_Repex,0),MATCH(BW$5,Mat_Type,0))*INDEX(Escalators!$I$44:$U$49,MATCH(BW$5,Escalators!$C$44:$C$49,0),MATCH(BW$6,Escalators!$I$43:$U$43,0)))</f>
        <v>0</v>
      </c>
      <c r="BX31" s="47">
        <f>IF($R31="",0,$O31*$AD31*INDEX(Act_Type_Repex_Splits,MATCH($I31,Act_Type_Repex,0),MATCH(BX$5,Mat_Type,0))*INDEX(Escalators!$I$44:$U$49,MATCH(BX$5,Escalators!$C$44:$C$49,0),MATCH(BX$6,Escalators!$I$43:$U$43,0)))</f>
        <v>0</v>
      </c>
      <c r="BY31" s="47">
        <f>IF($R31="",0,$O31*$AD31*INDEX(Act_Type_Repex_Splits,MATCH($I31,Act_Type_Repex,0),MATCH(BY$5,Mat_Type,0))*INDEX(Escalators!$I$44:$U$49,MATCH(BY$5,Escalators!$C$44:$C$49,0),MATCH(BY$6,Escalators!$I$43:$U$43,0)))</f>
        <v>0</v>
      </c>
      <c r="BZ31" s="47">
        <f t="shared" si="22"/>
        <v>0</v>
      </c>
      <c r="CA31" s="47">
        <f>IF($R31="",0,$P31*$AD31*INDEX(Act_Type_Repex_Splits,MATCH($I31,Act_Type_Repex,0),MATCH(CA$5,Mat_Type,0))*INDEX(Escalators!$I$44:$U$49,MATCH(CA$5,Escalators!$C$44:$C$49,0),MATCH(CA$6,Escalators!$I$43:$U$43,0)))</f>
        <v>0</v>
      </c>
      <c r="CB31" s="47">
        <f>IF($R31="",0,$P31*$AD31*INDEX(Act_Type_Repex_Splits,MATCH($I31,Act_Type_Repex,0),MATCH(CB$5,Mat_Type,0))*INDEX(Escalators!$I$44:$U$49,MATCH(CB$5,Escalators!$C$44:$C$49,0),MATCH(CB$6,Escalators!$I$43:$U$43,0)))</f>
        <v>0</v>
      </c>
      <c r="CC31" s="47">
        <f>IF($R31="",0,$P31*$AD31*INDEX(Act_Type_Repex_Splits,MATCH($I31,Act_Type_Repex,0),MATCH(CC$5,Mat_Type,0))*INDEX(Escalators!$I$44:$U$49,MATCH(CC$5,Escalators!$C$44:$C$49,0),MATCH(CC$6,Escalators!$I$43:$U$43,0)))</f>
        <v>0</v>
      </c>
      <c r="CD31" s="47">
        <f>IF($R31="",0,$P31*$AD31*INDEX(Act_Type_Repex_Splits,MATCH($I31,Act_Type_Repex,0),MATCH(CD$5,Mat_Type,0))*INDEX(Escalators!$I$44:$U$49,MATCH(CD$5,Escalators!$C$44:$C$49,0),MATCH(CD$6,Escalators!$I$43:$U$43,0)))</f>
        <v>0</v>
      </c>
      <c r="CE31" s="47">
        <f>IF($R31="",0,$P31*$AD31*INDEX(Act_Type_Repex_Splits,MATCH($I31,Act_Type_Repex,0),MATCH(CE$5,Mat_Type,0))*INDEX(Escalators!$I$44:$U$49,MATCH(CE$5,Escalators!$C$44:$C$49,0),MATCH(CE$6,Escalators!$I$43:$U$43,0)))</f>
        <v>0</v>
      </c>
      <c r="CF31" s="47">
        <f t="shared" si="23"/>
        <v>0</v>
      </c>
      <c r="CG31" s="47">
        <f>IF($R31="",0,$Q31*$AD31*INDEX(Act_Type_Repex_Splits,MATCH($I31,Act_Type_Repex,0),MATCH(CG$5,Mat_Type,0))*INDEX(Escalators!$I$44:$U$49,MATCH(CG$5,Escalators!$C$44:$C$49,0),MATCH(CG$6,Escalators!$I$43:$U$43,0)))</f>
        <v>0</v>
      </c>
      <c r="CH31" s="47">
        <f>IF($R31="",0,$Q31*$AD31*INDEX(Act_Type_Repex_Splits,MATCH($I31,Act_Type_Repex,0),MATCH(CH$5,Mat_Type,0))*INDEX(Escalators!$I$44:$U$49,MATCH(CH$5,Escalators!$C$44:$C$49,0),MATCH(CH$6,Escalators!$I$43:$U$43,0)))</f>
        <v>0</v>
      </c>
      <c r="CI31" s="47">
        <f>IF($R31="",0,$Q31*$AD31*INDEX(Act_Type_Repex_Splits,MATCH($I31,Act_Type_Repex,0),MATCH(CI$5,Mat_Type,0))*INDEX(Escalators!$I$44:$U$49,MATCH(CI$5,Escalators!$C$44:$C$49,0),MATCH(CI$6,Escalators!$I$43:$U$43,0)))</f>
        <v>0</v>
      </c>
      <c r="CJ31" s="47">
        <f>IF($R31="",0,$Q31*$AD31*INDEX(Act_Type_Repex_Splits,MATCH($I31,Act_Type_Repex,0),MATCH(CJ$5,Mat_Type,0))*INDEX(Escalators!$I$44:$U$49,MATCH(CJ$5,Escalators!$C$44:$C$49,0),MATCH(CJ$6,Escalators!$I$43:$U$43,0)))</f>
        <v>0</v>
      </c>
      <c r="CK31" s="47">
        <f>IF($R31="",0,$Q31*$AD31*INDEX(Act_Type_Repex_Splits,MATCH($I31,Act_Type_Repex,0),MATCH(CK$5,Mat_Type,0))*INDEX(Escalators!$I$44:$U$49,MATCH(CK$5,Escalators!$C$44:$C$49,0),MATCH(CK$6,Escalators!$I$43:$U$43,0)))</f>
        <v>0</v>
      </c>
      <c r="CL31" s="47">
        <f t="shared" si="24"/>
        <v>0</v>
      </c>
      <c r="CN31" s="47">
        <f>IF($R31="",0,J31*$AE31*HLOOKUP(CN$6,Escalators!$I$25:$U$30,6,FALSE))</f>
        <v>0</v>
      </c>
      <c r="CO31" s="47">
        <f>IF($R31="",0,K31*$AE31*HLOOKUP(CO$6,Escalators!$I$25:$U$30,6,FALSE))</f>
        <v>0</v>
      </c>
      <c r="CP31" s="47">
        <f>IF($R31="",0,L31*$AE31*HLOOKUP(CP$6,Escalators!$I$25:$U$30,6,FALSE))</f>
        <v>0</v>
      </c>
      <c r="CQ31" s="47">
        <f>IF($R31="",0,M31*$AE31*HLOOKUP(CQ$6,Escalators!$I$25:$U$30,6,FALSE))</f>
        <v>0</v>
      </c>
      <c r="CR31" s="47">
        <f>IF($R31="",0,N31*$AE31*HLOOKUP(CR$6,Escalators!$I$25:$U$30,6,FALSE))</f>
        <v>0</v>
      </c>
      <c r="CS31" s="47">
        <f>IF($R31="",0,O31*$AE31*HLOOKUP(CS$6,Escalators!$I$25:$U$30,6,FALSE))</f>
        <v>0</v>
      </c>
      <c r="CT31" s="47">
        <f>IF($R31="",0,P31*$AE31*HLOOKUP(CT$6,Escalators!$I$25:$U$30,6,FALSE))</f>
        <v>0</v>
      </c>
      <c r="CU31" s="47">
        <f>IF($R31="",0,Q31*$AE31*HLOOKUP(CU$6,Escalators!$I$25:$U$30,6,FALSE))</f>
        <v>0</v>
      </c>
      <c r="CW31" s="47">
        <f t="shared" si="25"/>
        <v>0</v>
      </c>
      <c r="CX31" s="47">
        <f t="shared" si="26"/>
        <v>0</v>
      </c>
      <c r="CY31" s="47">
        <f t="shared" si="27"/>
        <v>0</v>
      </c>
      <c r="CZ31" s="47">
        <f t="shared" si="28"/>
        <v>0</v>
      </c>
      <c r="DA31" s="47">
        <f t="shared" si="29"/>
        <v>0</v>
      </c>
      <c r="DB31" s="47">
        <f t="shared" si="30"/>
        <v>0</v>
      </c>
      <c r="DC31" s="47">
        <f t="shared" si="31"/>
        <v>0</v>
      </c>
      <c r="DD31" s="47">
        <f t="shared" si="32"/>
        <v>0</v>
      </c>
      <c r="DF31" s="47">
        <f t="shared" si="33"/>
        <v>0</v>
      </c>
      <c r="DG31" s="47">
        <f t="shared" si="34"/>
        <v>0</v>
      </c>
      <c r="DH31" s="47">
        <f t="shared" si="35"/>
        <v>0</v>
      </c>
      <c r="DI31" s="47">
        <f t="shared" si="36"/>
        <v>0</v>
      </c>
      <c r="DJ31" s="47">
        <f t="shared" si="37"/>
        <v>0</v>
      </c>
      <c r="DK31" s="47">
        <f t="shared" si="38"/>
        <v>0</v>
      </c>
      <c r="DL31" s="47">
        <f t="shared" si="39"/>
        <v>0</v>
      </c>
      <c r="DM31" s="47">
        <f t="shared" si="40"/>
        <v>0</v>
      </c>
      <c r="DO31" s="39"/>
    </row>
    <row r="32" spans="2:124" x14ac:dyDescent="0.3">
      <c r="B32" s="7"/>
      <c r="C32" s="7"/>
      <c r="D32" s="7"/>
      <c r="E32" s="7"/>
      <c r="F32" s="7"/>
      <c r="G32" s="7"/>
      <c r="H32" s="7"/>
      <c r="I32" s="7"/>
      <c r="J32" s="7"/>
      <c r="K32" s="7"/>
      <c r="L32" s="7"/>
      <c r="M32" s="7"/>
      <c r="N32" s="7"/>
      <c r="O32" s="7"/>
      <c r="P32" s="7"/>
      <c r="Q32" s="7"/>
      <c r="R32" s="46"/>
      <c r="T32" s="47">
        <f t="shared" si="8"/>
        <v>0</v>
      </c>
      <c r="U32" s="47">
        <f t="shared" si="9"/>
        <v>0</v>
      </c>
      <c r="V32" s="47">
        <f t="shared" si="10"/>
        <v>0</v>
      </c>
      <c r="W32" s="47">
        <f t="shared" si="11"/>
        <v>0</v>
      </c>
      <c r="X32" s="47">
        <f t="shared" si="12"/>
        <v>0</v>
      </c>
      <c r="Y32" s="47">
        <f t="shared" si="13"/>
        <v>0</v>
      </c>
      <c r="Z32" s="47">
        <f t="shared" si="14"/>
        <v>0</v>
      </c>
      <c r="AA32" s="47">
        <f t="shared" si="15"/>
        <v>0</v>
      </c>
      <c r="AC32" s="83">
        <f t="shared" si="16"/>
        <v>0</v>
      </c>
      <c r="AD32" s="83">
        <f t="shared" si="16"/>
        <v>0</v>
      </c>
      <c r="AE32" s="83">
        <f t="shared" si="16"/>
        <v>0</v>
      </c>
      <c r="AF32" s="83">
        <f t="shared" si="16"/>
        <v>0</v>
      </c>
      <c r="AH32" s="47">
        <f>IF($R32="",0,J32*$AC32*HLOOKUP(AH$6,Escalators!$I$25:$U$30,3,FALSE))</f>
        <v>0</v>
      </c>
      <c r="AI32" s="47">
        <f>IF($R32="",0,K32*$AC32*HLOOKUP(AI$6,Escalators!$I$25:$U$30,3,FALSE))</f>
        <v>0</v>
      </c>
      <c r="AJ32" s="47">
        <f>IF($R32="",0,L32*$AC32*HLOOKUP(AJ$6,Escalators!$I$25:$U$30,3,FALSE))</f>
        <v>0</v>
      </c>
      <c r="AK32" s="47">
        <f>IF($R32="",0,M32*$AC32*HLOOKUP(AK$6,Escalators!$I$25:$U$30,3,FALSE))</f>
        <v>0</v>
      </c>
      <c r="AL32" s="47">
        <f>IF($R32="",0,N32*$AC32*HLOOKUP(AL$6,Escalators!$I$25:$U$30,3,FALSE))</f>
        <v>0</v>
      </c>
      <c r="AM32" s="47">
        <f>IF($R32="",0,O32*$AC32*HLOOKUP(AM$6,Escalators!$I$25:$U$30,3,FALSE))</f>
        <v>0</v>
      </c>
      <c r="AN32" s="47">
        <f>IF($R32="",0,P32*$AC32*HLOOKUP(AN$6,Escalators!$I$25:$U$30,3,FALSE))</f>
        <v>0</v>
      </c>
      <c r="AO32" s="47">
        <f>IF($R32="",0,Q32*$AC32*HLOOKUP(AO$6,Escalators!$I$25:$U$30,3,FALSE))</f>
        <v>0</v>
      </c>
      <c r="AQ32" s="6">
        <f>IF($R32="",0,$J32*$AD32*INDEX(Act_Type_Repex_Splits,MATCH($I32,Act_Type_Repex,0),MATCH(AQ$5,Mat_Type,0))*INDEX(Escalators!$I$44:$Q$49,MATCH(AQ$5,Escalators!$C$44:$C$49,0),MATCH(AQ$6,Escalators!$I$43:$Q$43,0)))</f>
        <v>0</v>
      </c>
      <c r="AR32" s="6">
        <f>IF($R32="",0,$J32*$AD32*INDEX(Act_Type_Repex_Splits,MATCH($I32,Act_Type_Repex,0),MATCH(AR$5,Mat_Type,0))*INDEX(Escalators!$I$44:$Q$49,MATCH(AR$5,Escalators!$C$44:$C$49,0),MATCH(AR$6,Escalators!$I$43:$Q$43,0)))</f>
        <v>0</v>
      </c>
      <c r="AS32" s="6">
        <f>IF($R32="",0,$J32*$AD32*INDEX(Act_Type_Repex_Splits,MATCH($I32,Act_Type_Repex,0),MATCH(AS$5,Mat_Type,0))*INDEX(Escalators!$I$44:$Q$49,MATCH(AS$5,Escalators!$C$44:$C$49,0),MATCH(AS$6,Escalators!$I$43:$Q$43,0)))</f>
        <v>0</v>
      </c>
      <c r="AT32" s="6">
        <f>IF($R32="",0,$J32*$AD32*INDEX(Act_Type_Repex_Splits,MATCH($I32,Act_Type_Repex,0),MATCH(AT$5,Mat_Type,0))*INDEX(Escalators!$I$44:$Q$49,MATCH(AT$5,Escalators!$C$44:$C$49,0),MATCH(AT$6,Escalators!$I$43:$Q$43,0)))</f>
        <v>0</v>
      </c>
      <c r="AU32" s="6">
        <f>IF($R32="",0,$J32*$AD32*INDEX(Act_Type_Repex_Splits,MATCH($I32,Act_Type_Repex,0),MATCH(AU$5,Mat_Type,0))*INDEX(Escalators!$I$44:$Q$49,MATCH(AU$5,Escalators!$C$44:$C$49,0),MATCH(AU$6,Escalators!$I$43:$Q$43,0)))</f>
        <v>0</v>
      </c>
      <c r="AV32" s="47">
        <f t="shared" si="17"/>
        <v>0</v>
      </c>
      <c r="AW32" s="47">
        <f>IF($R32="",0,$K32*$AD32*INDEX(Act_Type_Repex_Splits,MATCH($I32,Act_Type_Repex,0),MATCH(AW$5,Mat_Type,0))*INDEX(Escalators!$I$44:$U$49,MATCH(AW$5,Escalators!$C$44:$C$49,0),MATCH(AW$6,Escalators!$I$43:$U$43,0)))</f>
        <v>0</v>
      </c>
      <c r="AX32" s="47">
        <f>IF($R32="",0,$K32*$AD32*INDEX(Act_Type_Repex_Splits,MATCH($I32,Act_Type_Repex,0),MATCH(AX$5,Mat_Type,0))*INDEX(Escalators!$I$44:$U$49,MATCH(AX$5,Escalators!$C$44:$C$49,0),MATCH(AX$6,Escalators!$I$43:$U$43,0)))</f>
        <v>0</v>
      </c>
      <c r="AY32" s="47">
        <f>IF($R32="",0,$K32*$AD32*INDEX(Act_Type_Repex_Splits,MATCH($I32,Act_Type_Repex,0),MATCH(AY$5,Mat_Type,0))*INDEX(Escalators!$I$44:$U$49,MATCH(AY$5,Escalators!$C$44:$C$49,0),MATCH(AY$6,Escalators!$I$43:$U$43,0)))</f>
        <v>0</v>
      </c>
      <c r="AZ32" s="47">
        <f>IF($R32="",0,$K32*$AD32*INDEX(Act_Type_Repex_Splits,MATCH($I32,Act_Type_Repex,0),MATCH(AZ$5,Mat_Type,0))*INDEX(Escalators!$I$44:$U$49,MATCH(AZ$5,Escalators!$C$44:$C$49,0),MATCH(AZ$6,Escalators!$I$43:$U$43,0)))</f>
        <v>0</v>
      </c>
      <c r="BA32" s="47">
        <f>IF($R32="",0,$K32*$AD32*INDEX(Act_Type_Repex_Splits,MATCH($I32,Act_Type_Repex,0),MATCH(BA$5,Mat_Type,0))*INDEX(Escalators!$I$44:$U$49,MATCH(BA$5,Escalators!$C$44:$C$49,0),MATCH(BA$6,Escalators!$I$43:$U$43,0)))</f>
        <v>0</v>
      </c>
      <c r="BB32" s="47">
        <f t="shared" si="18"/>
        <v>0</v>
      </c>
      <c r="BC32" s="47">
        <f>IF($R32="",0,$L32*$AD32*INDEX(Act_Type_Repex_Splits,MATCH($I32,Act_Type_Repex,0),MATCH(BC$5,Mat_Type,0))*INDEX(Escalators!$I$44:$U$49,MATCH(BC$5,Escalators!$C$44:$C$49,0),MATCH(BC$6,Escalators!$I$43:$U$43,0)))</f>
        <v>0</v>
      </c>
      <c r="BD32" s="47">
        <f>IF($R32="",0,$L32*$AD32*INDEX(Act_Type_Repex_Splits,MATCH($I32,Act_Type_Repex,0),MATCH(BD$5,Mat_Type,0))*INDEX(Escalators!$I$44:$U$49,MATCH(BD$5,Escalators!$C$44:$C$49,0),MATCH(BD$6,Escalators!$I$43:$U$43,0)))</f>
        <v>0</v>
      </c>
      <c r="BE32" s="47">
        <f>IF($R32="",0,$L32*$AD32*INDEX(Act_Type_Repex_Splits,MATCH($I32,Act_Type_Repex,0),MATCH(BE$5,Mat_Type,0))*INDEX(Escalators!$I$44:$U$49,MATCH(BE$5,Escalators!$C$44:$C$49,0),MATCH(BE$6,Escalators!$I$43:$U$43,0)))</f>
        <v>0</v>
      </c>
      <c r="BF32" s="47">
        <f>IF($R32="",0,$L32*$AD32*INDEX(Act_Type_Repex_Splits,MATCH($I32,Act_Type_Repex,0),MATCH(BF$5,Mat_Type,0))*INDEX(Escalators!$I$44:$U$49,MATCH(BF$5,Escalators!$C$44:$C$49,0),MATCH(BF$6,Escalators!$I$43:$U$43,0)))</f>
        <v>0</v>
      </c>
      <c r="BG32" s="47">
        <f>IF($R32="",0,$L32*$AD32*INDEX(Act_Type_Repex_Splits,MATCH($I32,Act_Type_Repex,0),MATCH(BG$5,Mat_Type,0))*INDEX(Escalators!$I$44:$U$49,MATCH(BG$5,Escalators!$C$44:$C$49,0),MATCH(BG$6,Escalators!$I$43:$U$43,0)))</f>
        <v>0</v>
      </c>
      <c r="BH32" s="47">
        <f t="shared" si="19"/>
        <v>0</v>
      </c>
      <c r="BI32" s="47">
        <f>IF($R32="",0,$M32*$AD32*INDEX(Act_Type_Repex_Splits,MATCH($I32,Act_Type_Repex,0),MATCH(BI$5,Mat_Type,0))*INDEX(Escalators!$I$44:$U$49,MATCH(BI$5,Escalators!$C$44:$C$49,0),MATCH(BI$6,Escalators!$I$43:$U$43,0)))</f>
        <v>0</v>
      </c>
      <c r="BJ32" s="47">
        <f>IF($R32="",0,$M32*$AD32*INDEX(Act_Type_Repex_Splits,MATCH($I32,Act_Type_Repex,0),MATCH(BJ$5,Mat_Type,0))*INDEX(Escalators!$I$44:$U$49,MATCH(BJ$5,Escalators!$C$44:$C$49,0),MATCH(BJ$6,Escalators!$I$43:$U$43,0)))</f>
        <v>0</v>
      </c>
      <c r="BK32" s="47">
        <f>IF($R32="",0,$M32*$AD32*INDEX(Act_Type_Repex_Splits,MATCH($I32,Act_Type_Repex,0),MATCH(BK$5,Mat_Type,0))*INDEX(Escalators!$I$44:$U$49,MATCH(BK$5,Escalators!$C$44:$C$49,0),MATCH(BK$6,Escalators!$I$43:$U$43,0)))</f>
        <v>0</v>
      </c>
      <c r="BL32" s="47">
        <f>IF($R32="",0,$M32*$AD32*INDEX(Act_Type_Repex_Splits,MATCH($I32,Act_Type_Repex,0),MATCH(BL$5,Mat_Type,0))*INDEX(Escalators!$I$44:$U$49,MATCH(BL$5,Escalators!$C$44:$C$49,0),MATCH(BL$6,Escalators!$I$43:$U$43,0)))</f>
        <v>0</v>
      </c>
      <c r="BM32" s="47">
        <f>IF($R32="",0,$M32*$AD32*INDEX(Act_Type_Repex_Splits,MATCH($I32,Act_Type_Repex,0),MATCH(BM$5,Mat_Type,0))*INDEX(Escalators!$I$44:$U$49,MATCH(BM$5,Escalators!$C$44:$C$49,0),MATCH(BM$6,Escalators!$I$43:$U$43,0)))</f>
        <v>0</v>
      </c>
      <c r="BN32" s="47">
        <f t="shared" si="20"/>
        <v>0</v>
      </c>
      <c r="BO32" s="47">
        <f>IF($R32="",0,$N32*$AD32*INDEX(Act_Type_Repex_Splits,MATCH($I32,Act_Type_Repex,0),MATCH(BO$5,Mat_Type,0))*INDEX(Escalators!$I$44:$U$49,MATCH(BO$5,Escalators!$C$44:$C$49,0),MATCH(BO$6,Escalators!$I$43:$U$43,0)))</f>
        <v>0</v>
      </c>
      <c r="BP32" s="47">
        <f>IF($R32="",0,$N32*$AD32*INDEX(Act_Type_Repex_Splits,MATCH($I32,Act_Type_Repex,0),MATCH(BP$5,Mat_Type,0))*INDEX(Escalators!$I$44:$U$49,MATCH(BP$5,Escalators!$C$44:$C$49,0),MATCH(BP$6,Escalators!$I$43:$U$43,0)))</f>
        <v>0</v>
      </c>
      <c r="BQ32" s="47">
        <f>IF($R32="",0,$N32*$AD32*INDEX(Act_Type_Repex_Splits,MATCH($I32,Act_Type_Repex,0),MATCH(BQ$5,Mat_Type,0))*INDEX(Escalators!$I$44:$U$49,MATCH(BQ$5,Escalators!$C$44:$C$49,0),MATCH(BQ$6,Escalators!$I$43:$U$43,0)))</f>
        <v>0</v>
      </c>
      <c r="BR32" s="47">
        <f>IF($R32="",0,$N32*$AD32*INDEX(Act_Type_Repex_Splits,MATCH($I32,Act_Type_Repex,0),MATCH(BR$5,Mat_Type,0))*INDEX(Escalators!$I$44:$U$49,MATCH(BR$5,Escalators!$C$44:$C$49,0),MATCH(BR$6,Escalators!$I$43:$U$43,0)))</f>
        <v>0</v>
      </c>
      <c r="BS32" s="47">
        <f>IF($R32="",0,$N32*$AD32*INDEX(Act_Type_Repex_Splits,MATCH($I32,Act_Type_Repex,0),MATCH(BS$5,Mat_Type,0))*INDEX(Escalators!$I$44:$U$49,MATCH(BS$5,Escalators!$C$44:$C$49,0),MATCH(BS$6,Escalators!$I$43:$U$43,0)))</f>
        <v>0</v>
      </c>
      <c r="BT32" s="47">
        <f t="shared" si="21"/>
        <v>0</v>
      </c>
      <c r="BU32" s="47">
        <f>IF($R32="",0,$O32*$AD32*INDEX(Act_Type_Repex_Splits,MATCH($I32,Act_Type_Repex,0),MATCH(BU$5,Mat_Type,0))*INDEX(Escalators!$I$44:$U$49,MATCH(BU$5,Escalators!$C$44:$C$49,0),MATCH(BU$6,Escalators!$I$43:$U$43,0)))</f>
        <v>0</v>
      </c>
      <c r="BV32" s="47">
        <f>IF($R32="",0,$O32*$AD32*INDEX(Act_Type_Repex_Splits,MATCH($I32,Act_Type_Repex,0),MATCH(BV$5,Mat_Type,0))*INDEX(Escalators!$I$44:$U$49,MATCH(BV$5,Escalators!$C$44:$C$49,0),MATCH(BV$6,Escalators!$I$43:$U$43,0)))</f>
        <v>0</v>
      </c>
      <c r="BW32" s="47">
        <f>IF($R32="",0,$O32*$AD32*INDEX(Act_Type_Repex_Splits,MATCH($I32,Act_Type_Repex,0),MATCH(BW$5,Mat_Type,0))*INDEX(Escalators!$I$44:$U$49,MATCH(BW$5,Escalators!$C$44:$C$49,0),MATCH(BW$6,Escalators!$I$43:$U$43,0)))</f>
        <v>0</v>
      </c>
      <c r="BX32" s="47">
        <f>IF($R32="",0,$O32*$AD32*INDEX(Act_Type_Repex_Splits,MATCH($I32,Act_Type_Repex,0),MATCH(BX$5,Mat_Type,0))*INDEX(Escalators!$I$44:$U$49,MATCH(BX$5,Escalators!$C$44:$C$49,0),MATCH(BX$6,Escalators!$I$43:$U$43,0)))</f>
        <v>0</v>
      </c>
      <c r="BY32" s="47">
        <f>IF($R32="",0,$O32*$AD32*INDEX(Act_Type_Repex_Splits,MATCH($I32,Act_Type_Repex,0),MATCH(BY$5,Mat_Type,0))*INDEX(Escalators!$I$44:$U$49,MATCH(BY$5,Escalators!$C$44:$C$49,0),MATCH(BY$6,Escalators!$I$43:$U$43,0)))</f>
        <v>0</v>
      </c>
      <c r="BZ32" s="47">
        <f t="shared" si="22"/>
        <v>0</v>
      </c>
      <c r="CA32" s="47">
        <f>IF($R32="",0,$P32*$AD32*INDEX(Act_Type_Repex_Splits,MATCH($I32,Act_Type_Repex,0),MATCH(CA$5,Mat_Type,0))*INDEX(Escalators!$I$44:$U$49,MATCH(CA$5,Escalators!$C$44:$C$49,0),MATCH(CA$6,Escalators!$I$43:$U$43,0)))</f>
        <v>0</v>
      </c>
      <c r="CB32" s="47">
        <f>IF($R32="",0,$P32*$AD32*INDEX(Act_Type_Repex_Splits,MATCH($I32,Act_Type_Repex,0),MATCH(CB$5,Mat_Type,0))*INDEX(Escalators!$I$44:$U$49,MATCH(CB$5,Escalators!$C$44:$C$49,0),MATCH(CB$6,Escalators!$I$43:$U$43,0)))</f>
        <v>0</v>
      </c>
      <c r="CC32" s="47">
        <f>IF($R32="",0,$P32*$AD32*INDEX(Act_Type_Repex_Splits,MATCH($I32,Act_Type_Repex,0),MATCH(CC$5,Mat_Type,0))*INDEX(Escalators!$I$44:$U$49,MATCH(CC$5,Escalators!$C$44:$C$49,0),MATCH(CC$6,Escalators!$I$43:$U$43,0)))</f>
        <v>0</v>
      </c>
      <c r="CD32" s="47">
        <f>IF($R32="",0,$P32*$AD32*INDEX(Act_Type_Repex_Splits,MATCH($I32,Act_Type_Repex,0),MATCH(CD$5,Mat_Type,0))*INDEX(Escalators!$I$44:$U$49,MATCH(CD$5,Escalators!$C$44:$C$49,0),MATCH(CD$6,Escalators!$I$43:$U$43,0)))</f>
        <v>0</v>
      </c>
      <c r="CE32" s="47">
        <f>IF($R32="",0,$P32*$AD32*INDEX(Act_Type_Repex_Splits,MATCH($I32,Act_Type_Repex,0),MATCH(CE$5,Mat_Type,0))*INDEX(Escalators!$I$44:$U$49,MATCH(CE$5,Escalators!$C$44:$C$49,0),MATCH(CE$6,Escalators!$I$43:$U$43,0)))</f>
        <v>0</v>
      </c>
      <c r="CF32" s="47">
        <f t="shared" si="23"/>
        <v>0</v>
      </c>
      <c r="CG32" s="47">
        <f>IF($R32="",0,$Q32*$AD32*INDEX(Act_Type_Repex_Splits,MATCH($I32,Act_Type_Repex,0),MATCH(CG$5,Mat_Type,0))*INDEX(Escalators!$I$44:$U$49,MATCH(CG$5,Escalators!$C$44:$C$49,0),MATCH(CG$6,Escalators!$I$43:$U$43,0)))</f>
        <v>0</v>
      </c>
      <c r="CH32" s="47">
        <f>IF($R32="",0,$Q32*$AD32*INDEX(Act_Type_Repex_Splits,MATCH($I32,Act_Type_Repex,0),MATCH(CH$5,Mat_Type,0))*INDEX(Escalators!$I$44:$U$49,MATCH(CH$5,Escalators!$C$44:$C$49,0),MATCH(CH$6,Escalators!$I$43:$U$43,0)))</f>
        <v>0</v>
      </c>
      <c r="CI32" s="47">
        <f>IF($R32="",0,$Q32*$AD32*INDEX(Act_Type_Repex_Splits,MATCH($I32,Act_Type_Repex,0),MATCH(CI$5,Mat_Type,0))*INDEX(Escalators!$I$44:$U$49,MATCH(CI$5,Escalators!$C$44:$C$49,0),MATCH(CI$6,Escalators!$I$43:$U$43,0)))</f>
        <v>0</v>
      </c>
      <c r="CJ32" s="47">
        <f>IF($R32="",0,$Q32*$AD32*INDEX(Act_Type_Repex_Splits,MATCH($I32,Act_Type_Repex,0),MATCH(CJ$5,Mat_Type,0))*INDEX(Escalators!$I$44:$U$49,MATCH(CJ$5,Escalators!$C$44:$C$49,0),MATCH(CJ$6,Escalators!$I$43:$U$43,0)))</f>
        <v>0</v>
      </c>
      <c r="CK32" s="47">
        <f>IF($R32="",0,$Q32*$AD32*INDEX(Act_Type_Repex_Splits,MATCH($I32,Act_Type_Repex,0),MATCH(CK$5,Mat_Type,0))*INDEX(Escalators!$I$44:$U$49,MATCH(CK$5,Escalators!$C$44:$C$49,0),MATCH(CK$6,Escalators!$I$43:$U$43,0)))</f>
        <v>0</v>
      </c>
      <c r="CL32" s="47">
        <f t="shared" si="24"/>
        <v>0</v>
      </c>
      <c r="CN32" s="47">
        <f>IF($R32="",0,J32*$AE32*HLOOKUP(CN$6,Escalators!$I$25:$U$30,6,FALSE))</f>
        <v>0</v>
      </c>
      <c r="CO32" s="47">
        <f>IF($R32="",0,K32*$AE32*HLOOKUP(CO$6,Escalators!$I$25:$U$30,6,FALSE))</f>
        <v>0</v>
      </c>
      <c r="CP32" s="47">
        <f>IF($R32="",0,L32*$AE32*HLOOKUP(CP$6,Escalators!$I$25:$U$30,6,FALSE))</f>
        <v>0</v>
      </c>
      <c r="CQ32" s="47">
        <f>IF($R32="",0,M32*$AE32*HLOOKUP(CQ$6,Escalators!$I$25:$U$30,6,FALSE))</f>
        <v>0</v>
      </c>
      <c r="CR32" s="47">
        <f>IF($R32="",0,N32*$AE32*HLOOKUP(CR$6,Escalators!$I$25:$U$30,6,FALSE))</f>
        <v>0</v>
      </c>
      <c r="CS32" s="47">
        <f>IF($R32="",0,O32*$AE32*HLOOKUP(CS$6,Escalators!$I$25:$U$30,6,FALSE))</f>
        <v>0</v>
      </c>
      <c r="CT32" s="47">
        <f>IF($R32="",0,P32*$AE32*HLOOKUP(CT$6,Escalators!$I$25:$U$30,6,FALSE))</f>
        <v>0</v>
      </c>
      <c r="CU32" s="47">
        <f>IF($R32="",0,Q32*$AE32*HLOOKUP(CU$6,Escalators!$I$25:$U$30,6,FALSE))</f>
        <v>0</v>
      </c>
      <c r="CW32" s="47">
        <f t="shared" si="25"/>
        <v>0</v>
      </c>
      <c r="CX32" s="47">
        <f t="shared" si="26"/>
        <v>0</v>
      </c>
      <c r="CY32" s="47">
        <f t="shared" si="27"/>
        <v>0</v>
      </c>
      <c r="CZ32" s="47">
        <f t="shared" si="28"/>
        <v>0</v>
      </c>
      <c r="DA32" s="47">
        <f t="shared" si="29"/>
        <v>0</v>
      </c>
      <c r="DB32" s="47">
        <f t="shared" si="30"/>
        <v>0</v>
      </c>
      <c r="DC32" s="47">
        <f t="shared" si="31"/>
        <v>0</v>
      </c>
      <c r="DD32" s="47">
        <f t="shared" si="32"/>
        <v>0</v>
      </c>
      <c r="DF32" s="47">
        <f t="shared" si="33"/>
        <v>0</v>
      </c>
      <c r="DG32" s="47">
        <f t="shared" si="34"/>
        <v>0</v>
      </c>
      <c r="DH32" s="47">
        <f t="shared" si="35"/>
        <v>0</v>
      </c>
      <c r="DI32" s="47">
        <f t="shared" si="36"/>
        <v>0</v>
      </c>
      <c r="DJ32" s="47">
        <f t="shared" si="37"/>
        <v>0</v>
      </c>
      <c r="DK32" s="47">
        <f t="shared" si="38"/>
        <v>0</v>
      </c>
      <c r="DL32" s="47">
        <f t="shared" si="39"/>
        <v>0</v>
      </c>
      <c r="DM32" s="47">
        <f t="shared" si="40"/>
        <v>0</v>
      </c>
      <c r="DO32" s="39"/>
    </row>
    <row r="33" spans="2:119" x14ac:dyDescent="0.3">
      <c r="B33" s="7"/>
      <c r="C33" s="7"/>
      <c r="D33" s="7"/>
      <c r="E33" s="7"/>
      <c r="F33" s="7"/>
      <c r="G33" s="7"/>
      <c r="H33" s="7"/>
      <c r="I33" s="7"/>
      <c r="J33" s="7"/>
      <c r="K33" s="7"/>
      <c r="L33" s="7"/>
      <c r="M33" s="7"/>
      <c r="N33" s="7"/>
      <c r="O33" s="7"/>
      <c r="P33" s="7"/>
      <c r="Q33" s="7"/>
      <c r="R33" s="46"/>
      <c r="T33" s="47">
        <f t="shared" si="8"/>
        <v>0</v>
      </c>
      <c r="U33" s="47">
        <f t="shared" si="9"/>
        <v>0</v>
      </c>
      <c r="V33" s="47">
        <f t="shared" si="10"/>
        <v>0</v>
      </c>
      <c r="W33" s="47">
        <f t="shared" si="11"/>
        <v>0</v>
      </c>
      <c r="X33" s="47">
        <f t="shared" si="12"/>
        <v>0</v>
      </c>
      <c r="Y33" s="47">
        <f t="shared" si="13"/>
        <v>0</v>
      </c>
      <c r="Z33" s="47">
        <f t="shared" si="14"/>
        <v>0</v>
      </c>
      <c r="AA33" s="47">
        <f t="shared" si="15"/>
        <v>0</v>
      </c>
      <c r="AC33" s="83">
        <f t="shared" si="16"/>
        <v>0</v>
      </c>
      <c r="AD33" s="83">
        <f t="shared" si="16"/>
        <v>0</v>
      </c>
      <c r="AE33" s="83">
        <f t="shared" si="16"/>
        <v>0</v>
      </c>
      <c r="AF33" s="83">
        <f t="shared" si="16"/>
        <v>0</v>
      </c>
      <c r="AH33" s="47">
        <f>IF($R33="",0,J33*$AC33*HLOOKUP(AH$6,Escalators!$I$25:$U$30,3,FALSE))</f>
        <v>0</v>
      </c>
      <c r="AI33" s="47">
        <f>IF($R33="",0,K33*$AC33*HLOOKUP(AI$6,Escalators!$I$25:$U$30,3,FALSE))</f>
        <v>0</v>
      </c>
      <c r="AJ33" s="47">
        <f>IF($R33="",0,L33*$AC33*HLOOKUP(AJ$6,Escalators!$I$25:$U$30,3,FALSE))</f>
        <v>0</v>
      </c>
      <c r="AK33" s="47">
        <f>IF($R33="",0,M33*$AC33*HLOOKUP(AK$6,Escalators!$I$25:$U$30,3,FALSE))</f>
        <v>0</v>
      </c>
      <c r="AL33" s="47">
        <f>IF($R33="",0,N33*$AC33*HLOOKUP(AL$6,Escalators!$I$25:$U$30,3,FALSE))</f>
        <v>0</v>
      </c>
      <c r="AM33" s="47">
        <f>IF($R33="",0,O33*$AC33*HLOOKUP(AM$6,Escalators!$I$25:$U$30,3,FALSE))</f>
        <v>0</v>
      </c>
      <c r="AN33" s="47">
        <f>IF($R33="",0,P33*$AC33*HLOOKUP(AN$6,Escalators!$I$25:$U$30,3,FALSE))</f>
        <v>0</v>
      </c>
      <c r="AO33" s="47">
        <f>IF($R33="",0,Q33*$AC33*HLOOKUP(AO$6,Escalators!$I$25:$U$30,3,FALSE))</f>
        <v>0</v>
      </c>
      <c r="AQ33" s="6">
        <f>IF($R33="",0,$J33*$AD33*INDEX(Act_Type_Repex_Splits,MATCH($I33,Act_Type_Repex,0),MATCH(AQ$5,Mat_Type,0))*INDEX(Escalators!$I$44:$Q$49,MATCH(AQ$5,Escalators!$C$44:$C$49,0),MATCH(AQ$6,Escalators!$I$43:$Q$43,0)))</f>
        <v>0</v>
      </c>
      <c r="AR33" s="6">
        <f>IF($R33="",0,$J33*$AD33*INDEX(Act_Type_Repex_Splits,MATCH($I33,Act_Type_Repex,0),MATCH(AR$5,Mat_Type,0))*INDEX(Escalators!$I$44:$Q$49,MATCH(AR$5,Escalators!$C$44:$C$49,0),MATCH(AR$6,Escalators!$I$43:$Q$43,0)))</f>
        <v>0</v>
      </c>
      <c r="AS33" s="6">
        <f>IF($R33="",0,$J33*$AD33*INDEX(Act_Type_Repex_Splits,MATCH($I33,Act_Type_Repex,0),MATCH(AS$5,Mat_Type,0))*INDEX(Escalators!$I$44:$Q$49,MATCH(AS$5,Escalators!$C$44:$C$49,0),MATCH(AS$6,Escalators!$I$43:$Q$43,0)))</f>
        <v>0</v>
      </c>
      <c r="AT33" s="6">
        <f>IF($R33="",0,$J33*$AD33*INDEX(Act_Type_Repex_Splits,MATCH($I33,Act_Type_Repex,0),MATCH(AT$5,Mat_Type,0))*INDEX(Escalators!$I$44:$Q$49,MATCH(AT$5,Escalators!$C$44:$C$49,0),MATCH(AT$6,Escalators!$I$43:$Q$43,0)))</f>
        <v>0</v>
      </c>
      <c r="AU33" s="6">
        <f>IF($R33="",0,$J33*$AD33*INDEX(Act_Type_Repex_Splits,MATCH($I33,Act_Type_Repex,0),MATCH(AU$5,Mat_Type,0))*INDEX(Escalators!$I$44:$Q$49,MATCH(AU$5,Escalators!$C$44:$C$49,0),MATCH(AU$6,Escalators!$I$43:$Q$43,0)))</f>
        <v>0</v>
      </c>
      <c r="AV33" s="47">
        <f t="shared" si="17"/>
        <v>0</v>
      </c>
      <c r="AW33" s="47">
        <f>IF($R33="",0,$K33*$AD33*INDEX(Act_Type_Repex_Splits,MATCH($I33,Act_Type_Repex,0),MATCH(AW$5,Mat_Type,0))*INDEX(Escalators!$I$44:$U$49,MATCH(AW$5,Escalators!$C$44:$C$49,0),MATCH(AW$6,Escalators!$I$43:$U$43,0)))</f>
        <v>0</v>
      </c>
      <c r="AX33" s="47">
        <f>IF($R33="",0,$K33*$AD33*INDEX(Act_Type_Repex_Splits,MATCH($I33,Act_Type_Repex,0),MATCH(AX$5,Mat_Type,0))*INDEX(Escalators!$I$44:$U$49,MATCH(AX$5,Escalators!$C$44:$C$49,0),MATCH(AX$6,Escalators!$I$43:$U$43,0)))</f>
        <v>0</v>
      </c>
      <c r="AY33" s="47">
        <f>IF($R33="",0,$K33*$AD33*INDEX(Act_Type_Repex_Splits,MATCH($I33,Act_Type_Repex,0),MATCH(AY$5,Mat_Type,0))*INDEX(Escalators!$I$44:$U$49,MATCH(AY$5,Escalators!$C$44:$C$49,0),MATCH(AY$6,Escalators!$I$43:$U$43,0)))</f>
        <v>0</v>
      </c>
      <c r="AZ33" s="47">
        <f>IF($R33="",0,$K33*$AD33*INDEX(Act_Type_Repex_Splits,MATCH($I33,Act_Type_Repex,0),MATCH(AZ$5,Mat_Type,0))*INDEX(Escalators!$I$44:$U$49,MATCH(AZ$5,Escalators!$C$44:$C$49,0),MATCH(AZ$6,Escalators!$I$43:$U$43,0)))</f>
        <v>0</v>
      </c>
      <c r="BA33" s="47">
        <f>IF($R33="",0,$K33*$AD33*INDEX(Act_Type_Repex_Splits,MATCH($I33,Act_Type_Repex,0),MATCH(BA$5,Mat_Type,0))*INDEX(Escalators!$I$44:$U$49,MATCH(BA$5,Escalators!$C$44:$C$49,0),MATCH(BA$6,Escalators!$I$43:$U$43,0)))</f>
        <v>0</v>
      </c>
      <c r="BB33" s="47">
        <f t="shared" si="18"/>
        <v>0</v>
      </c>
      <c r="BC33" s="47">
        <f>IF($R33="",0,$L33*$AD33*INDEX(Act_Type_Repex_Splits,MATCH($I33,Act_Type_Repex,0),MATCH(BC$5,Mat_Type,0))*INDEX(Escalators!$I$44:$U$49,MATCH(BC$5,Escalators!$C$44:$C$49,0),MATCH(BC$6,Escalators!$I$43:$U$43,0)))</f>
        <v>0</v>
      </c>
      <c r="BD33" s="47">
        <f>IF($R33="",0,$L33*$AD33*INDEX(Act_Type_Repex_Splits,MATCH($I33,Act_Type_Repex,0),MATCH(BD$5,Mat_Type,0))*INDEX(Escalators!$I$44:$U$49,MATCH(BD$5,Escalators!$C$44:$C$49,0),MATCH(BD$6,Escalators!$I$43:$U$43,0)))</f>
        <v>0</v>
      </c>
      <c r="BE33" s="47">
        <f>IF($R33="",0,$L33*$AD33*INDEX(Act_Type_Repex_Splits,MATCH($I33,Act_Type_Repex,0),MATCH(BE$5,Mat_Type,0))*INDEX(Escalators!$I$44:$U$49,MATCH(BE$5,Escalators!$C$44:$C$49,0),MATCH(BE$6,Escalators!$I$43:$U$43,0)))</f>
        <v>0</v>
      </c>
      <c r="BF33" s="47">
        <f>IF($R33="",0,$L33*$AD33*INDEX(Act_Type_Repex_Splits,MATCH($I33,Act_Type_Repex,0),MATCH(BF$5,Mat_Type,0))*INDEX(Escalators!$I$44:$U$49,MATCH(BF$5,Escalators!$C$44:$C$49,0),MATCH(BF$6,Escalators!$I$43:$U$43,0)))</f>
        <v>0</v>
      </c>
      <c r="BG33" s="47">
        <f>IF($R33="",0,$L33*$AD33*INDEX(Act_Type_Repex_Splits,MATCH($I33,Act_Type_Repex,0),MATCH(BG$5,Mat_Type,0))*INDEX(Escalators!$I$44:$U$49,MATCH(BG$5,Escalators!$C$44:$C$49,0),MATCH(BG$6,Escalators!$I$43:$U$43,0)))</f>
        <v>0</v>
      </c>
      <c r="BH33" s="47">
        <f t="shared" si="19"/>
        <v>0</v>
      </c>
      <c r="BI33" s="47">
        <f>IF($R33="",0,$M33*$AD33*INDEX(Act_Type_Repex_Splits,MATCH($I33,Act_Type_Repex,0),MATCH(BI$5,Mat_Type,0))*INDEX(Escalators!$I$44:$U$49,MATCH(BI$5,Escalators!$C$44:$C$49,0),MATCH(BI$6,Escalators!$I$43:$U$43,0)))</f>
        <v>0</v>
      </c>
      <c r="BJ33" s="47">
        <f>IF($R33="",0,$M33*$AD33*INDEX(Act_Type_Repex_Splits,MATCH($I33,Act_Type_Repex,0),MATCH(BJ$5,Mat_Type,0))*INDEX(Escalators!$I$44:$U$49,MATCH(BJ$5,Escalators!$C$44:$C$49,0),MATCH(BJ$6,Escalators!$I$43:$U$43,0)))</f>
        <v>0</v>
      </c>
      <c r="BK33" s="47">
        <f>IF($R33="",0,$M33*$AD33*INDEX(Act_Type_Repex_Splits,MATCH($I33,Act_Type_Repex,0),MATCH(BK$5,Mat_Type,0))*INDEX(Escalators!$I$44:$U$49,MATCH(BK$5,Escalators!$C$44:$C$49,0),MATCH(BK$6,Escalators!$I$43:$U$43,0)))</f>
        <v>0</v>
      </c>
      <c r="BL33" s="47">
        <f>IF($R33="",0,$M33*$AD33*INDEX(Act_Type_Repex_Splits,MATCH($I33,Act_Type_Repex,0),MATCH(BL$5,Mat_Type,0))*INDEX(Escalators!$I$44:$U$49,MATCH(BL$5,Escalators!$C$44:$C$49,0),MATCH(BL$6,Escalators!$I$43:$U$43,0)))</f>
        <v>0</v>
      </c>
      <c r="BM33" s="47">
        <f>IF($R33="",0,$M33*$AD33*INDEX(Act_Type_Repex_Splits,MATCH($I33,Act_Type_Repex,0),MATCH(BM$5,Mat_Type,0))*INDEX(Escalators!$I$44:$U$49,MATCH(BM$5,Escalators!$C$44:$C$49,0),MATCH(BM$6,Escalators!$I$43:$U$43,0)))</f>
        <v>0</v>
      </c>
      <c r="BN33" s="47">
        <f t="shared" si="20"/>
        <v>0</v>
      </c>
      <c r="BO33" s="47">
        <f>IF($R33="",0,$N33*$AD33*INDEX(Act_Type_Repex_Splits,MATCH($I33,Act_Type_Repex,0),MATCH(BO$5,Mat_Type,0))*INDEX(Escalators!$I$44:$U$49,MATCH(BO$5,Escalators!$C$44:$C$49,0),MATCH(BO$6,Escalators!$I$43:$U$43,0)))</f>
        <v>0</v>
      </c>
      <c r="BP33" s="47">
        <f>IF($R33="",0,$N33*$AD33*INDEX(Act_Type_Repex_Splits,MATCH($I33,Act_Type_Repex,0),MATCH(BP$5,Mat_Type,0))*INDEX(Escalators!$I$44:$U$49,MATCH(BP$5,Escalators!$C$44:$C$49,0),MATCH(BP$6,Escalators!$I$43:$U$43,0)))</f>
        <v>0</v>
      </c>
      <c r="BQ33" s="47">
        <f>IF($R33="",0,$N33*$AD33*INDEX(Act_Type_Repex_Splits,MATCH($I33,Act_Type_Repex,0),MATCH(BQ$5,Mat_Type,0))*INDEX(Escalators!$I$44:$U$49,MATCH(BQ$5,Escalators!$C$44:$C$49,0),MATCH(BQ$6,Escalators!$I$43:$U$43,0)))</f>
        <v>0</v>
      </c>
      <c r="BR33" s="47">
        <f>IF($R33="",0,$N33*$AD33*INDEX(Act_Type_Repex_Splits,MATCH($I33,Act_Type_Repex,0),MATCH(BR$5,Mat_Type,0))*INDEX(Escalators!$I$44:$U$49,MATCH(BR$5,Escalators!$C$44:$C$49,0),MATCH(BR$6,Escalators!$I$43:$U$43,0)))</f>
        <v>0</v>
      </c>
      <c r="BS33" s="47">
        <f>IF($R33="",0,$N33*$AD33*INDEX(Act_Type_Repex_Splits,MATCH($I33,Act_Type_Repex,0),MATCH(BS$5,Mat_Type,0))*INDEX(Escalators!$I$44:$U$49,MATCH(BS$5,Escalators!$C$44:$C$49,0),MATCH(BS$6,Escalators!$I$43:$U$43,0)))</f>
        <v>0</v>
      </c>
      <c r="BT33" s="47">
        <f t="shared" si="21"/>
        <v>0</v>
      </c>
      <c r="BU33" s="47">
        <f>IF($R33="",0,$O33*$AD33*INDEX(Act_Type_Repex_Splits,MATCH($I33,Act_Type_Repex,0),MATCH(BU$5,Mat_Type,0))*INDEX(Escalators!$I$44:$U$49,MATCH(BU$5,Escalators!$C$44:$C$49,0),MATCH(BU$6,Escalators!$I$43:$U$43,0)))</f>
        <v>0</v>
      </c>
      <c r="BV33" s="47">
        <f>IF($R33="",0,$O33*$AD33*INDEX(Act_Type_Repex_Splits,MATCH($I33,Act_Type_Repex,0),MATCH(BV$5,Mat_Type,0))*INDEX(Escalators!$I$44:$U$49,MATCH(BV$5,Escalators!$C$44:$C$49,0),MATCH(BV$6,Escalators!$I$43:$U$43,0)))</f>
        <v>0</v>
      </c>
      <c r="BW33" s="47">
        <f>IF($R33="",0,$O33*$AD33*INDEX(Act_Type_Repex_Splits,MATCH($I33,Act_Type_Repex,0),MATCH(BW$5,Mat_Type,0))*INDEX(Escalators!$I$44:$U$49,MATCH(BW$5,Escalators!$C$44:$C$49,0),MATCH(BW$6,Escalators!$I$43:$U$43,0)))</f>
        <v>0</v>
      </c>
      <c r="BX33" s="47">
        <f>IF($R33="",0,$O33*$AD33*INDEX(Act_Type_Repex_Splits,MATCH($I33,Act_Type_Repex,0),MATCH(BX$5,Mat_Type,0))*INDEX(Escalators!$I$44:$U$49,MATCH(BX$5,Escalators!$C$44:$C$49,0),MATCH(BX$6,Escalators!$I$43:$U$43,0)))</f>
        <v>0</v>
      </c>
      <c r="BY33" s="47">
        <f>IF($R33="",0,$O33*$AD33*INDEX(Act_Type_Repex_Splits,MATCH($I33,Act_Type_Repex,0),MATCH(BY$5,Mat_Type,0))*INDEX(Escalators!$I$44:$U$49,MATCH(BY$5,Escalators!$C$44:$C$49,0),MATCH(BY$6,Escalators!$I$43:$U$43,0)))</f>
        <v>0</v>
      </c>
      <c r="BZ33" s="47">
        <f t="shared" si="22"/>
        <v>0</v>
      </c>
      <c r="CA33" s="47">
        <f>IF($R33="",0,$P33*$AD33*INDEX(Act_Type_Repex_Splits,MATCH($I33,Act_Type_Repex,0),MATCH(CA$5,Mat_Type,0))*INDEX(Escalators!$I$44:$U$49,MATCH(CA$5,Escalators!$C$44:$C$49,0),MATCH(CA$6,Escalators!$I$43:$U$43,0)))</f>
        <v>0</v>
      </c>
      <c r="CB33" s="47">
        <f>IF($R33="",0,$P33*$AD33*INDEX(Act_Type_Repex_Splits,MATCH($I33,Act_Type_Repex,0),MATCH(CB$5,Mat_Type,0))*INDEX(Escalators!$I$44:$U$49,MATCH(CB$5,Escalators!$C$44:$C$49,0),MATCH(CB$6,Escalators!$I$43:$U$43,0)))</f>
        <v>0</v>
      </c>
      <c r="CC33" s="47">
        <f>IF($R33="",0,$P33*$AD33*INDEX(Act_Type_Repex_Splits,MATCH($I33,Act_Type_Repex,0),MATCH(CC$5,Mat_Type,0))*INDEX(Escalators!$I$44:$U$49,MATCH(CC$5,Escalators!$C$44:$C$49,0),MATCH(CC$6,Escalators!$I$43:$U$43,0)))</f>
        <v>0</v>
      </c>
      <c r="CD33" s="47">
        <f>IF($R33="",0,$P33*$AD33*INDEX(Act_Type_Repex_Splits,MATCH($I33,Act_Type_Repex,0),MATCH(CD$5,Mat_Type,0))*INDEX(Escalators!$I$44:$U$49,MATCH(CD$5,Escalators!$C$44:$C$49,0),MATCH(CD$6,Escalators!$I$43:$U$43,0)))</f>
        <v>0</v>
      </c>
      <c r="CE33" s="47">
        <f>IF($R33="",0,$P33*$AD33*INDEX(Act_Type_Repex_Splits,MATCH($I33,Act_Type_Repex,0),MATCH(CE$5,Mat_Type,0))*INDEX(Escalators!$I$44:$U$49,MATCH(CE$5,Escalators!$C$44:$C$49,0),MATCH(CE$6,Escalators!$I$43:$U$43,0)))</f>
        <v>0</v>
      </c>
      <c r="CF33" s="47">
        <f t="shared" si="23"/>
        <v>0</v>
      </c>
      <c r="CG33" s="47">
        <f>IF($R33="",0,$Q33*$AD33*INDEX(Act_Type_Repex_Splits,MATCH($I33,Act_Type_Repex,0),MATCH(CG$5,Mat_Type,0))*INDEX(Escalators!$I$44:$U$49,MATCH(CG$5,Escalators!$C$44:$C$49,0),MATCH(CG$6,Escalators!$I$43:$U$43,0)))</f>
        <v>0</v>
      </c>
      <c r="CH33" s="47">
        <f>IF($R33="",0,$Q33*$AD33*INDEX(Act_Type_Repex_Splits,MATCH($I33,Act_Type_Repex,0),MATCH(CH$5,Mat_Type,0))*INDEX(Escalators!$I$44:$U$49,MATCH(CH$5,Escalators!$C$44:$C$49,0),MATCH(CH$6,Escalators!$I$43:$U$43,0)))</f>
        <v>0</v>
      </c>
      <c r="CI33" s="47">
        <f>IF($R33="",0,$Q33*$AD33*INDEX(Act_Type_Repex_Splits,MATCH($I33,Act_Type_Repex,0),MATCH(CI$5,Mat_Type,0))*INDEX(Escalators!$I$44:$U$49,MATCH(CI$5,Escalators!$C$44:$C$49,0),MATCH(CI$6,Escalators!$I$43:$U$43,0)))</f>
        <v>0</v>
      </c>
      <c r="CJ33" s="47">
        <f>IF($R33="",0,$Q33*$AD33*INDEX(Act_Type_Repex_Splits,MATCH($I33,Act_Type_Repex,0),MATCH(CJ$5,Mat_Type,0))*INDEX(Escalators!$I$44:$U$49,MATCH(CJ$5,Escalators!$C$44:$C$49,0),MATCH(CJ$6,Escalators!$I$43:$U$43,0)))</f>
        <v>0</v>
      </c>
      <c r="CK33" s="47">
        <f>IF($R33="",0,$Q33*$AD33*INDEX(Act_Type_Repex_Splits,MATCH($I33,Act_Type_Repex,0),MATCH(CK$5,Mat_Type,0))*INDEX(Escalators!$I$44:$U$49,MATCH(CK$5,Escalators!$C$44:$C$49,0),MATCH(CK$6,Escalators!$I$43:$U$43,0)))</f>
        <v>0</v>
      </c>
      <c r="CL33" s="47">
        <f t="shared" si="24"/>
        <v>0</v>
      </c>
      <c r="CN33" s="47">
        <f>IF($R33="",0,J33*$AE33*HLOOKUP(CN$6,Escalators!$I$25:$U$30,6,FALSE))</f>
        <v>0</v>
      </c>
      <c r="CO33" s="47">
        <f>IF($R33="",0,K33*$AE33*HLOOKUP(CO$6,Escalators!$I$25:$U$30,6,FALSE))</f>
        <v>0</v>
      </c>
      <c r="CP33" s="47">
        <f>IF($R33="",0,L33*$AE33*HLOOKUP(CP$6,Escalators!$I$25:$U$30,6,FALSE))</f>
        <v>0</v>
      </c>
      <c r="CQ33" s="47">
        <f>IF($R33="",0,M33*$AE33*HLOOKUP(CQ$6,Escalators!$I$25:$U$30,6,FALSE))</f>
        <v>0</v>
      </c>
      <c r="CR33" s="47">
        <f>IF($R33="",0,N33*$AE33*HLOOKUP(CR$6,Escalators!$I$25:$U$30,6,FALSE))</f>
        <v>0</v>
      </c>
      <c r="CS33" s="47">
        <f>IF($R33="",0,O33*$AE33*HLOOKUP(CS$6,Escalators!$I$25:$U$30,6,FALSE))</f>
        <v>0</v>
      </c>
      <c r="CT33" s="47">
        <f>IF($R33="",0,P33*$AE33*HLOOKUP(CT$6,Escalators!$I$25:$U$30,6,FALSE))</f>
        <v>0</v>
      </c>
      <c r="CU33" s="47">
        <f>IF($R33="",0,Q33*$AE33*HLOOKUP(CU$6,Escalators!$I$25:$U$30,6,FALSE))</f>
        <v>0</v>
      </c>
      <c r="CW33" s="47">
        <f t="shared" si="25"/>
        <v>0</v>
      </c>
      <c r="CX33" s="47">
        <f t="shared" si="26"/>
        <v>0</v>
      </c>
      <c r="CY33" s="47">
        <f t="shared" si="27"/>
        <v>0</v>
      </c>
      <c r="CZ33" s="47">
        <f t="shared" si="28"/>
        <v>0</v>
      </c>
      <c r="DA33" s="47">
        <f t="shared" si="29"/>
        <v>0</v>
      </c>
      <c r="DB33" s="47">
        <f t="shared" si="30"/>
        <v>0</v>
      </c>
      <c r="DC33" s="47">
        <f t="shared" si="31"/>
        <v>0</v>
      </c>
      <c r="DD33" s="47">
        <f t="shared" si="32"/>
        <v>0</v>
      </c>
      <c r="DF33" s="47">
        <f t="shared" si="33"/>
        <v>0</v>
      </c>
      <c r="DG33" s="47">
        <f t="shared" si="34"/>
        <v>0</v>
      </c>
      <c r="DH33" s="47">
        <f t="shared" si="35"/>
        <v>0</v>
      </c>
      <c r="DI33" s="47">
        <f t="shared" si="36"/>
        <v>0</v>
      </c>
      <c r="DJ33" s="47">
        <f t="shared" si="37"/>
        <v>0</v>
      </c>
      <c r="DK33" s="47">
        <f t="shared" si="38"/>
        <v>0</v>
      </c>
      <c r="DL33" s="47">
        <f t="shared" si="39"/>
        <v>0</v>
      </c>
      <c r="DM33" s="47">
        <f t="shared" si="40"/>
        <v>0</v>
      </c>
      <c r="DO33" s="39"/>
    </row>
    <row r="34" spans="2:119" x14ac:dyDescent="0.3">
      <c r="B34" s="7"/>
      <c r="C34" s="7"/>
      <c r="D34" s="7"/>
      <c r="E34" s="7"/>
      <c r="F34" s="7"/>
      <c r="G34" s="7"/>
      <c r="H34" s="7"/>
      <c r="I34" s="7"/>
      <c r="J34" s="7"/>
      <c r="K34" s="7"/>
      <c r="L34" s="7"/>
      <c r="M34" s="7"/>
      <c r="N34" s="7"/>
      <c r="O34" s="7"/>
      <c r="P34" s="7"/>
      <c r="Q34" s="7"/>
      <c r="R34" s="46"/>
      <c r="T34" s="47">
        <f t="shared" si="8"/>
        <v>0</v>
      </c>
      <c r="U34" s="47">
        <f t="shared" si="9"/>
        <v>0</v>
      </c>
      <c r="V34" s="47">
        <f t="shared" si="10"/>
        <v>0</v>
      </c>
      <c r="W34" s="47">
        <f t="shared" si="11"/>
        <v>0</v>
      </c>
      <c r="X34" s="47">
        <f t="shared" si="12"/>
        <v>0</v>
      </c>
      <c r="Y34" s="47">
        <f t="shared" si="13"/>
        <v>0</v>
      </c>
      <c r="Z34" s="47">
        <f t="shared" si="14"/>
        <v>0</v>
      </c>
      <c r="AA34" s="47">
        <f t="shared" si="15"/>
        <v>0</v>
      </c>
      <c r="AC34" s="83">
        <f t="shared" si="16"/>
        <v>0</v>
      </c>
      <c r="AD34" s="83">
        <f t="shared" si="16"/>
        <v>0</v>
      </c>
      <c r="AE34" s="83">
        <f t="shared" si="16"/>
        <v>0</v>
      </c>
      <c r="AF34" s="83">
        <f t="shared" si="16"/>
        <v>0</v>
      </c>
      <c r="AH34" s="47">
        <f>IF($R34="",0,J34*$AC34*HLOOKUP(AH$6,Escalators!$I$25:$U$30,3,FALSE))</f>
        <v>0</v>
      </c>
      <c r="AI34" s="47">
        <f>IF($R34="",0,K34*$AC34*HLOOKUP(AI$6,Escalators!$I$25:$U$30,3,FALSE))</f>
        <v>0</v>
      </c>
      <c r="AJ34" s="47">
        <f>IF($R34="",0,L34*$AC34*HLOOKUP(AJ$6,Escalators!$I$25:$U$30,3,FALSE))</f>
        <v>0</v>
      </c>
      <c r="AK34" s="47">
        <f>IF($R34="",0,M34*$AC34*HLOOKUP(AK$6,Escalators!$I$25:$U$30,3,FALSE))</f>
        <v>0</v>
      </c>
      <c r="AL34" s="47">
        <f>IF($R34="",0,N34*$AC34*HLOOKUP(AL$6,Escalators!$I$25:$U$30,3,FALSE))</f>
        <v>0</v>
      </c>
      <c r="AM34" s="47">
        <f>IF($R34="",0,O34*$AC34*HLOOKUP(AM$6,Escalators!$I$25:$U$30,3,FALSE))</f>
        <v>0</v>
      </c>
      <c r="AN34" s="47">
        <f>IF($R34="",0,P34*$AC34*HLOOKUP(AN$6,Escalators!$I$25:$U$30,3,FALSE))</f>
        <v>0</v>
      </c>
      <c r="AO34" s="47">
        <f>IF($R34="",0,Q34*$AC34*HLOOKUP(AO$6,Escalators!$I$25:$U$30,3,FALSE))</f>
        <v>0</v>
      </c>
      <c r="AQ34" s="6">
        <f>IF($R34="",0,$J34*$AD34*INDEX(Act_Type_Repex_Splits,MATCH($I34,Act_Type_Repex,0),MATCH(AQ$5,Mat_Type,0))*INDEX(Escalators!$I$44:$Q$49,MATCH(AQ$5,Escalators!$C$44:$C$49,0),MATCH(AQ$6,Escalators!$I$43:$Q$43,0)))</f>
        <v>0</v>
      </c>
      <c r="AR34" s="6">
        <f>IF($R34="",0,$J34*$AD34*INDEX(Act_Type_Repex_Splits,MATCH($I34,Act_Type_Repex,0),MATCH(AR$5,Mat_Type,0))*INDEX(Escalators!$I$44:$Q$49,MATCH(AR$5,Escalators!$C$44:$C$49,0),MATCH(AR$6,Escalators!$I$43:$Q$43,0)))</f>
        <v>0</v>
      </c>
      <c r="AS34" s="6">
        <f>IF($R34="",0,$J34*$AD34*INDEX(Act_Type_Repex_Splits,MATCH($I34,Act_Type_Repex,0),MATCH(AS$5,Mat_Type,0))*INDEX(Escalators!$I$44:$Q$49,MATCH(AS$5,Escalators!$C$44:$C$49,0),MATCH(AS$6,Escalators!$I$43:$Q$43,0)))</f>
        <v>0</v>
      </c>
      <c r="AT34" s="6">
        <f>IF($R34="",0,$J34*$AD34*INDEX(Act_Type_Repex_Splits,MATCH($I34,Act_Type_Repex,0),MATCH(AT$5,Mat_Type,0))*INDEX(Escalators!$I$44:$Q$49,MATCH(AT$5,Escalators!$C$44:$C$49,0),MATCH(AT$6,Escalators!$I$43:$Q$43,0)))</f>
        <v>0</v>
      </c>
      <c r="AU34" s="6">
        <f>IF($R34="",0,$J34*$AD34*INDEX(Act_Type_Repex_Splits,MATCH($I34,Act_Type_Repex,0),MATCH(AU$5,Mat_Type,0))*INDEX(Escalators!$I$44:$Q$49,MATCH(AU$5,Escalators!$C$44:$C$49,0),MATCH(AU$6,Escalators!$I$43:$Q$43,0)))</f>
        <v>0</v>
      </c>
      <c r="AV34" s="47">
        <f t="shared" si="17"/>
        <v>0</v>
      </c>
      <c r="AW34" s="47">
        <f>IF($R34="",0,$K34*$AD34*INDEX(Act_Type_Repex_Splits,MATCH($I34,Act_Type_Repex,0),MATCH(AW$5,Mat_Type,0))*INDEX(Escalators!$I$44:$U$49,MATCH(AW$5,Escalators!$C$44:$C$49,0),MATCH(AW$6,Escalators!$I$43:$U$43,0)))</f>
        <v>0</v>
      </c>
      <c r="AX34" s="47">
        <f>IF($R34="",0,$K34*$AD34*INDEX(Act_Type_Repex_Splits,MATCH($I34,Act_Type_Repex,0),MATCH(AX$5,Mat_Type,0))*INDEX(Escalators!$I$44:$U$49,MATCH(AX$5,Escalators!$C$44:$C$49,0),MATCH(AX$6,Escalators!$I$43:$U$43,0)))</f>
        <v>0</v>
      </c>
      <c r="AY34" s="47">
        <f>IF($R34="",0,$K34*$AD34*INDEX(Act_Type_Repex_Splits,MATCH($I34,Act_Type_Repex,0),MATCH(AY$5,Mat_Type,0))*INDEX(Escalators!$I$44:$U$49,MATCH(AY$5,Escalators!$C$44:$C$49,0),MATCH(AY$6,Escalators!$I$43:$U$43,0)))</f>
        <v>0</v>
      </c>
      <c r="AZ34" s="47">
        <f>IF($R34="",0,$K34*$AD34*INDEX(Act_Type_Repex_Splits,MATCH($I34,Act_Type_Repex,0),MATCH(AZ$5,Mat_Type,0))*INDEX(Escalators!$I$44:$U$49,MATCH(AZ$5,Escalators!$C$44:$C$49,0),MATCH(AZ$6,Escalators!$I$43:$U$43,0)))</f>
        <v>0</v>
      </c>
      <c r="BA34" s="47">
        <f>IF($R34="",0,$K34*$AD34*INDEX(Act_Type_Repex_Splits,MATCH($I34,Act_Type_Repex,0),MATCH(BA$5,Mat_Type,0))*INDEX(Escalators!$I$44:$U$49,MATCH(BA$5,Escalators!$C$44:$C$49,0),MATCH(BA$6,Escalators!$I$43:$U$43,0)))</f>
        <v>0</v>
      </c>
      <c r="BB34" s="47">
        <f t="shared" si="18"/>
        <v>0</v>
      </c>
      <c r="BC34" s="47">
        <f>IF($R34="",0,$L34*$AD34*INDEX(Act_Type_Repex_Splits,MATCH($I34,Act_Type_Repex,0),MATCH(BC$5,Mat_Type,0))*INDEX(Escalators!$I$44:$U$49,MATCH(BC$5,Escalators!$C$44:$C$49,0),MATCH(BC$6,Escalators!$I$43:$U$43,0)))</f>
        <v>0</v>
      </c>
      <c r="BD34" s="47">
        <f>IF($R34="",0,$L34*$AD34*INDEX(Act_Type_Repex_Splits,MATCH($I34,Act_Type_Repex,0),MATCH(BD$5,Mat_Type,0))*INDEX(Escalators!$I$44:$U$49,MATCH(BD$5,Escalators!$C$44:$C$49,0),MATCH(BD$6,Escalators!$I$43:$U$43,0)))</f>
        <v>0</v>
      </c>
      <c r="BE34" s="47">
        <f>IF($R34="",0,$L34*$AD34*INDEX(Act_Type_Repex_Splits,MATCH($I34,Act_Type_Repex,0),MATCH(BE$5,Mat_Type,0))*INDEX(Escalators!$I$44:$U$49,MATCH(BE$5,Escalators!$C$44:$C$49,0),MATCH(BE$6,Escalators!$I$43:$U$43,0)))</f>
        <v>0</v>
      </c>
      <c r="BF34" s="47">
        <f>IF($R34="",0,$L34*$AD34*INDEX(Act_Type_Repex_Splits,MATCH($I34,Act_Type_Repex,0),MATCH(BF$5,Mat_Type,0))*INDEX(Escalators!$I$44:$U$49,MATCH(BF$5,Escalators!$C$44:$C$49,0),MATCH(BF$6,Escalators!$I$43:$U$43,0)))</f>
        <v>0</v>
      </c>
      <c r="BG34" s="47">
        <f>IF($R34="",0,$L34*$AD34*INDEX(Act_Type_Repex_Splits,MATCH($I34,Act_Type_Repex,0),MATCH(BG$5,Mat_Type,0))*INDEX(Escalators!$I$44:$U$49,MATCH(BG$5,Escalators!$C$44:$C$49,0),MATCH(BG$6,Escalators!$I$43:$U$43,0)))</f>
        <v>0</v>
      </c>
      <c r="BH34" s="47">
        <f t="shared" si="19"/>
        <v>0</v>
      </c>
      <c r="BI34" s="47">
        <f>IF($R34="",0,$M34*$AD34*INDEX(Act_Type_Repex_Splits,MATCH($I34,Act_Type_Repex,0),MATCH(BI$5,Mat_Type,0))*INDEX(Escalators!$I$44:$U$49,MATCH(BI$5,Escalators!$C$44:$C$49,0),MATCH(BI$6,Escalators!$I$43:$U$43,0)))</f>
        <v>0</v>
      </c>
      <c r="BJ34" s="47">
        <f>IF($R34="",0,$M34*$AD34*INDEX(Act_Type_Repex_Splits,MATCH($I34,Act_Type_Repex,0),MATCH(BJ$5,Mat_Type,0))*INDEX(Escalators!$I$44:$U$49,MATCH(BJ$5,Escalators!$C$44:$C$49,0),MATCH(BJ$6,Escalators!$I$43:$U$43,0)))</f>
        <v>0</v>
      </c>
      <c r="BK34" s="47">
        <f>IF($R34="",0,$M34*$AD34*INDEX(Act_Type_Repex_Splits,MATCH($I34,Act_Type_Repex,0),MATCH(BK$5,Mat_Type,0))*INDEX(Escalators!$I$44:$U$49,MATCH(BK$5,Escalators!$C$44:$C$49,0),MATCH(BK$6,Escalators!$I$43:$U$43,0)))</f>
        <v>0</v>
      </c>
      <c r="BL34" s="47">
        <f>IF($R34="",0,$M34*$AD34*INDEX(Act_Type_Repex_Splits,MATCH($I34,Act_Type_Repex,0),MATCH(BL$5,Mat_Type,0))*INDEX(Escalators!$I$44:$U$49,MATCH(BL$5,Escalators!$C$44:$C$49,0),MATCH(BL$6,Escalators!$I$43:$U$43,0)))</f>
        <v>0</v>
      </c>
      <c r="BM34" s="47">
        <f>IF($R34="",0,$M34*$AD34*INDEX(Act_Type_Repex_Splits,MATCH($I34,Act_Type_Repex,0),MATCH(BM$5,Mat_Type,0))*INDEX(Escalators!$I$44:$U$49,MATCH(BM$5,Escalators!$C$44:$C$49,0),MATCH(BM$6,Escalators!$I$43:$U$43,0)))</f>
        <v>0</v>
      </c>
      <c r="BN34" s="47">
        <f t="shared" si="20"/>
        <v>0</v>
      </c>
      <c r="BO34" s="47">
        <f>IF($R34="",0,$N34*$AD34*INDEX(Act_Type_Repex_Splits,MATCH($I34,Act_Type_Repex,0),MATCH(BO$5,Mat_Type,0))*INDEX(Escalators!$I$44:$U$49,MATCH(BO$5,Escalators!$C$44:$C$49,0),MATCH(BO$6,Escalators!$I$43:$U$43,0)))</f>
        <v>0</v>
      </c>
      <c r="BP34" s="47">
        <f>IF($R34="",0,$N34*$AD34*INDEX(Act_Type_Repex_Splits,MATCH($I34,Act_Type_Repex,0),MATCH(BP$5,Mat_Type,0))*INDEX(Escalators!$I$44:$U$49,MATCH(BP$5,Escalators!$C$44:$C$49,0),MATCH(BP$6,Escalators!$I$43:$U$43,0)))</f>
        <v>0</v>
      </c>
      <c r="BQ34" s="47">
        <f>IF($R34="",0,$N34*$AD34*INDEX(Act_Type_Repex_Splits,MATCH($I34,Act_Type_Repex,0),MATCH(BQ$5,Mat_Type,0))*INDEX(Escalators!$I$44:$U$49,MATCH(BQ$5,Escalators!$C$44:$C$49,0),MATCH(BQ$6,Escalators!$I$43:$U$43,0)))</f>
        <v>0</v>
      </c>
      <c r="BR34" s="47">
        <f>IF($R34="",0,$N34*$AD34*INDEX(Act_Type_Repex_Splits,MATCH($I34,Act_Type_Repex,0),MATCH(BR$5,Mat_Type,0))*INDEX(Escalators!$I$44:$U$49,MATCH(BR$5,Escalators!$C$44:$C$49,0),MATCH(BR$6,Escalators!$I$43:$U$43,0)))</f>
        <v>0</v>
      </c>
      <c r="BS34" s="47">
        <f>IF($R34="",0,$N34*$AD34*INDEX(Act_Type_Repex_Splits,MATCH($I34,Act_Type_Repex,0),MATCH(BS$5,Mat_Type,0))*INDEX(Escalators!$I$44:$U$49,MATCH(BS$5,Escalators!$C$44:$C$49,0),MATCH(BS$6,Escalators!$I$43:$U$43,0)))</f>
        <v>0</v>
      </c>
      <c r="BT34" s="47">
        <f t="shared" si="21"/>
        <v>0</v>
      </c>
      <c r="BU34" s="47">
        <f>IF($R34="",0,$O34*$AD34*INDEX(Act_Type_Repex_Splits,MATCH($I34,Act_Type_Repex,0),MATCH(BU$5,Mat_Type,0))*INDEX(Escalators!$I$44:$U$49,MATCH(BU$5,Escalators!$C$44:$C$49,0),MATCH(BU$6,Escalators!$I$43:$U$43,0)))</f>
        <v>0</v>
      </c>
      <c r="BV34" s="47">
        <f>IF($R34="",0,$O34*$AD34*INDEX(Act_Type_Repex_Splits,MATCH($I34,Act_Type_Repex,0),MATCH(BV$5,Mat_Type,0))*INDEX(Escalators!$I$44:$U$49,MATCH(BV$5,Escalators!$C$44:$C$49,0),MATCH(BV$6,Escalators!$I$43:$U$43,0)))</f>
        <v>0</v>
      </c>
      <c r="BW34" s="47">
        <f>IF($R34="",0,$O34*$AD34*INDEX(Act_Type_Repex_Splits,MATCH($I34,Act_Type_Repex,0),MATCH(BW$5,Mat_Type,0))*INDEX(Escalators!$I$44:$U$49,MATCH(BW$5,Escalators!$C$44:$C$49,0),MATCH(BW$6,Escalators!$I$43:$U$43,0)))</f>
        <v>0</v>
      </c>
      <c r="BX34" s="47">
        <f>IF($R34="",0,$O34*$AD34*INDEX(Act_Type_Repex_Splits,MATCH($I34,Act_Type_Repex,0),MATCH(BX$5,Mat_Type,0))*INDEX(Escalators!$I$44:$U$49,MATCH(BX$5,Escalators!$C$44:$C$49,0),MATCH(BX$6,Escalators!$I$43:$U$43,0)))</f>
        <v>0</v>
      </c>
      <c r="BY34" s="47">
        <f>IF($R34="",0,$O34*$AD34*INDEX(Act_Type_Repex_Splits,MATCH($I34,Act_Type_Repex,0),MATCH(BY$5,Mat_Type,0))*INDEX(Escalators!$I$44:$U$49,MATCH(BY$5,Escalators!$C$44:$C$49,0),MATCH(BY$6,Escalators!$I$43:$U$43,0)))</f>
        <v>0</v>
      </c>
      <c r="BZ34" s="47">
        <f t="shared" si="22"/>
        <v>0</v>
      </c>
      <c r="CA34" s="47">
        <f>IF($R34="",0,$P34*$AD34*INDEX(Act_Type_Repex_Splits,MATCH($I34,Act_Type_Repex,0),MATCH(CA$5,Mat_Type,0))*INDEX(Escalators!$I$44:$U$49,MATCH(CA$5,Escalators!$C$44:$C$49,0),MATCH(CA$6,Escalators!$I$43:$U$43,0)))</f>
        <v>0</v>
      </c>
      <c r="CB34" s="47">
        <f>IF($R34="",0,$P34*$AD34*INDEX(Act_Type_Repex_Splits,MATCH($I34,Act_Type_Repex,0),MATCH(CB$5,Mat_Type,0))*INDEX(Escalators!$I$44:$U$49,MATCH(CB$5,Escalators!$C$44:$C$49,0),MATCH(CB$6,Escalators!$I$43:$U$43,0)))</f>
        <v>0</v>
      </c>
      <c r="CC34" s="47">
        <f>IF($R34="",0,$P34*$AD34*INDEX(Act_Type_Repex_Splits,MATCH($I34,Act_Type_Repex,0),MATCH(CC$5,Mat_Type,0))*INDEX(Escalators!$I$44:$U$49,MATCH(CC$5,Escalators!$C$44:$C$49,0),MATCH(CC$6,Escalators!$I$43:$U$43,0)))</f>
        <v>0</v>
      </c>
      <c r="CD34" s="47">
        <f>IF($R34="",0,$P34*$AD34*INDEX(Act_Type_Repex_Splits,MATCH($I34,Act_Type_Repex,0),MATCH(CD$5,Mat_Type,0))*INDEX(Escalators!$I$44:$U$49,MATCH(CD$5,Escalators!$C$44:$C$49,0),MATCH(CD$6,Escalators!$I$43:$U$43,0)))</f>
        <v>0</v>
      </c>
      <c r="CE34" s="47">
        <f>IF($R34="",0,$P34*$AD34*INDEX(Act_Type_Repex_Splits,MATCH($I34,Act_Type_Repex,0),MATCH(CE$5,Mat_Type,0))*INDEX(Escalators!$I$44:$U$49,MATCH(CE$5,Escalators!$C$44:$C$49,0),MATCH(CE$6,Escalators!$I$43:$U$43,0)))</f>
        <v>0</v>
      </c>
      <c r="CF34" s="47">
        <f t="shared" si="23"/>
        <v>0</v>
      </c>
      <c r="CG34" s="47">
        <f>IF($R34="",0,$Q34*$AD34*INDEX(Act_Type_Repex_Splits,MATCH($I34,Act_Type_Repex,0),MATCH(CG$5,Mat_Type,0))*INDEX(Escalators!$I$44:$U$49,MATCH(CG$5,Escalators!$C$44:$C$49,0),MATCH(CG$6,Escalators!$I$43:$U$43,0)))</f>
        <v>0</v>
      </c>
      <c r="CH34" s="47">
        <f>IF($R34="",0,$Q34*$AD34*INDEX(Act_Type_Repex_Splits,MATCH($I34,Act_Type_Repex,0),MATCH(CH$5,Mat_Type,0))*INDEX(Escalators!$I$44:$U$49,MATCH(CH$5,Escalators!$C$44:$C$49,0),MATCH(CH$6,Escalators!$I$43:$U$43,0)))</f>
        <v>0</v>
      </c>
      <c r="CI34" s="47">
        <f>IF($R34="",0,$Q34*$AD34*INDEX(Act_Type_Repex_Splits,MATCH($I34,Act_Type_Repex,0),MATCH(CI$5,Mat_Type,0))*INDEX(Escalators!$I$44:$U$49,MATCH(CI$5,Escalators!$C$44:$C$49,0),MATCH(CI$6,Escalators!$I$43:$U$43,0)))</f>
        <v>0</v>
      </c>
      <c r="CJ34" s="47">
        <f>IF($R34="",0,$Q34*$AD34*INDEX(Act_Type_Repex_Splits,MATCH($I34,Act_Type_Repex,0),MATCH(CJ$5,Mat_Type,0))*INDEX(Escalators!$I$44:$U$49,MATCH(CJ$5,Escalators!$C$44:$C$49,0),MATCH(CJ$6,Escalators!$I$43:$U$43,0)))</f>
        <v>0</v>
      </c>
      <c r="CK34" s="47">
        <f>IF($R34="",0,$Q34*$AD34*INDEX(Act_Type_Repex_Splits,MATCH($I34,Act_Type_Repex,0),MATCH(CK$5,Mat_Type,0))*INDEX(Escalators!$I$44:$U$49,MATCH(CK$5,Escalators!$C$44:$C$49,0),MATCH(CK$6,Escalators!$I$43:$U$43,0)))</f>
        <v>0</v>
      </c>
      <c r="CL34" s="47">
        <f t="shared" si="24"/>
        <v>0</v>
      </c>
      <c r="CN34" s="47">
        <f>IF($R34="",0,J34*$AE34*HLOOKUP(CN$6,Escalators!$I$25:$U$30,6,FALSE))</f>
        <v>0</v>
      </c>
      <c r="CO34" s="47">
        <f>IF($R34="",0,K34*$AE34*HLOOKUP(CO$6,Escalators!$I$25:$U$30,6,FALSE))</f>
        <v>0</v>
      </c>
      <c r="CP34" s="47">
        <f>IF($R34="",0,L34*$AE34*HLOOKUP(CP$6,Escalators!$I$25:$U$30,6,FALSE))</f>
        <v>0</v>
      </c>
      <c r="CQ34" s="47">
        <f>IF($R34="",0,M34*$AE34*HLOOKUP(CQ$6,Escalators!$I$25:$U$30,6,FALSE))</f>
        <v>0</v>
      </c>
      <c r="CR34" s="47">
        <f>IF($R34="",0,N34*$AE34*HLOOKUP(CR$6,Escalators!$I$25:$U$30,6,FALSE))</f>
        <v>0</v>
      </c>
      <c r="CS34" s="47">
        <f>IF($R34="",0,O34*$AE34*HLOOKUP(CS$6,Escalators!$I$25:$U$30,6,FALSE))</f>
        <v>0</v>
      </c>
      <c r="CT34" s="47">
        <f>IF($R34="",0,P34*$AE34*HLOOKUP(CT$6,Escalators!$I$25:$U$30,6,FALSE))</f>
        <v>0</v>
      </c>
      <c r="CU34" s="47">
        <f>IF($R34="",0,Q34*$AE34*HLOOKUP(CU$6,Escalators!$I$25:$U$30,6,FALSE))</f>
        <v>0</v>
      </c>
      <c r="CW34" s="47">
        <f t="shared" si="25"/>
        <v>0</v>
      </c>
      <c r="CX34" s="47">
        <f t="shared" si="26"/>
        <v>0</v>
      </c>
      <c r="CY34" s="47">
        <f t="shared" si="27"/>
        <v>0</v>
      </c>
      <c r="CZ34" s="47">
        <f t="shared" si="28"/>
        <v>0</v>
      </c>
      <c r="DA34" s="47">
        <f t="shared" si="29"/>
        <v>0</v>
      </c>
      <c r="DB34" s="47">
        <f t="shared" si="30"/>
        <v>0</v>
      </c>
      <c r="DC34" s="47">
        <f t="shared" si="31"/>
        <v>0</v>
      </c>
      <c r="DD34" s="47">
        <f t="shared" si="32"/>
        <v>0</v>
      </c>
      <c r="DF34" s="47">
        <f t="shared" si="33"/>
        <v>0</v>
      </c>
      <c r="DG34" s="47">
        <f t="shared" si="34"/>
        <v>0</v>
      </c>
      <c r="DH34" s="47">
        <f t="shared" si="35"/>
        <v>0</v>
      </c>
      <c r="DI34" s="47">
        <f t="shared" si="36"/>
        <v>0</v>
      </c>
      <c r="DJ34" s="47">
        <f t="shared" si="37"/>
        <v>0</v>
      </c>
      <c r="DK34" s="47">
        <f t="shared" si="38"/>
        <v>0</v>
      </c>
      <c r="DL34" s="47">
        <f t="shared" si="39"/>
        <v>0</v>
      </c>
      <c r="DM34" s="47">
        <f t="shared" si="40"/>
        <v>0</v>
      </c>
      <c r="DO34" s="39"/>
    </row>
    <row r="35" spans="2:119" x14ac:dyDescent="0.3">
      <c r="B35" s="7"/>
      <c r="C35" s="7"/>
      <c r="D35" s="7"/>
      <c r="E35" s="7"/>
      <c r="F35" s="7"/>
      <c r="G35" s="7"/>
      <c r="H35" s="7"/>
      <c r="I35" s="7"/>
      <c r="J35" s="7"/>
      <c r="K35" s="7"/>
      <c r="L35" s="7"/>
      <c r="M35" s="7"/>
      <c r="N35" s="7"/>
      <c r="O35" s="7"/>
      <c r="P35" s="7"/>
      <c r="Q35" s="7"/>
      <c r="R35" s="46"/>
      <c r="T35" s="47">
        <f t="shared" si="8"/>
        <v>0</v>
      </c>
      <c r="U35" s="47">
        <f t="shared" si="9"/>
        <v>0</v>
      </c>
      <c r="V35" s="47">
        <f t="shared" si="10"/>
        <v>0</v>
      </c>
      <c r="W35" s="47">
        <f t="shared" si="11"/>
        <v>0</v>
      </c>
      <c r="X35" s="47">
        <f t="shared" si="12"/>
        <v>0</v>
      </c>
      <c r="Y35" s="47">
        <f t="shared" si="13"/>
        <v>0</v>
      </c>
      <c r="Z35" s="47">
        <f t="shared" si="14"/>
        <v>0</v>
      </c>
      <c r="AA35" s="47">
        <f t="shared" si="15"/>
        <v>0</v>
      </c>
      <c r="AC35" s="83">
        <f t="shared" si="16"/>
        <v>0</v>
      </c>
      <c r="AD35" s="83">
        <f t="shared" si="16"/>
        <v>0</v>
      </c>
      <c r="AE35" s="83">
        <f t="shared" si="16"/>
        <v>0</v>
      </c>
      <c r="AF35" s="83">
        <f t="shared" si="16"/>
        <v>0</v>
      </c>
      <c r="AH35" s="47">
        <f>IF($R35="",0,J35*$AC35*HLOOKUP(AH$6,Escalators!$I$25:$U$30,3,FALSE))</f>
        <v>0</v>
      </c>
      <c r="AI35" s="47">
        <f>IF($R35="",0,K35*$AC35*HLOOKUP(AI$6,Escalators!$I$25:$U$30,3,FALSE))</f>
        <v>0</v>
      </c>
      <c r="AJ35" s="47">
        <f>IF($R35="",0,L35*$AC35*HLOOKUP(AJ$6,Escalators!$I$25:$U$30,3,FALSE))</f>
        <v>0</v>
      </c>
      <c r="AK35" s="47">
        <f>IF($R35="",0,M35*$AC35*HLOOKUP(AK$6,Escalators!$I$25:$U$30,3,FALSE))</f>
        <v>0</v>
      </c>
      <c r="AL35" s="47">
        <f>IF($R35="",0,N35*$AC35*HLOOKUP(AL$6,Escalators!$I$25:$U$30,3,FALSE))</f>
        <v>0</v>
      </c>
      <c r="AM35" s="47">
        <f>IF($R35="",0,O35*$AC35*HLOOKUP(AM$6,Escalators!$I$25:$U$30,3,FALSE))</f>
        <v>0</v>
      </c>
      <c r="AN35" s="47">
        <f>IF($R35="",0,P35*$AC35*HLOOKUP(AN$6,Escalators!$I$25:$U$30,3,FALSE))</f>
        <v>0</v>
      </c>
      <c r="AO35" s="47">
        <f>IF($R35="",0,Q35*$AC35*HLOOKUP(AO$6,Escalators!$I$25:$U$30,3,FALSE))</f>
        <v>0</v>
      </c>
      <c r="AQ35" s="6">
        <f>IF($R35="",0,$J35*$AD35*INDEX(Act_Type_Repex_Splits,MATCH($I35,Act_Type_Repex,0),MATCH(AQ$5,Mat_Type,0))*INDEX(Escalators!$I$44:$Q$49,MATCH(AQ$5,Escalators!$C$44:$C$49,0),MATCH(AQ$6,Escalators!$I$43:$Q$43,0)))</f>
        <v>0</v>
      </c>
      <c r="AR35" s="6">
        <f>IF($R35="",0,$J35*$AD35*INDEX(Act_Type_Repex_Splits,MATCH($I35,Act_Type_Repex,0),MATCH(AR$5,Mat_Type,0))*INDEX(Escalators!$I$44:$Q$49,MATCH(AR$5,Escalators!$C$44:$C$49,0),MATCH(AR$6,Escalators!$I$43:$Q$43,0)))</f>
        <v>0</v>
      </c>
      <c r="AS35" s="6">
        <f>IF($R35="",0,$J35*$AD35*INDEX(Act_Type_Repex_Splits,MATCH($I35,Act_Type_Repex,0),MATCH(AS$5,Mat_Type,0))*INDEX(Escalators!$I$44:$Q$49,MATCH(AS$5,Escalators!$C$44:$C$49,0),MATCH(AS$6,Escalators!$I$43:$Q$43,0)))</f>
        <v>0</v>
      </c>
      <c r="AT35" s="6">
        <f>IF($R35="",0,$J35*$AD35*INDEX(Act_Type_Repex_Splits,MATCH($I35,Act_Type_Repex,0),MATCH(AT$5,Mat_Type,0))*INDEX(Escalators!$I$44:$Q$49,MATCH(AT$5,Escalators!$C$44:$C$49,0),MATCH(AT$6,Escalators!$I$43:$Q$43,0)))</f>
        <v>0</v>
      </c>
      <c r="AU35" s="6">
        <f>IF($R35="",0,$J35*$AD35*INDEX(Act_Type_Repex_Splits,MATCH($I35,Act_Type_Repex,0),MATCH(AU$5,Mat_Type,0))*INDEX(Escalators!$I$44:$Q$49,MATCH(AU$5,Escalators!$C$44:$C$49,0),MATCH(AU$6,Escalators!$I$43:$Q$43,0)))</f>
        <v>0</v>
      </c>
      <c r="AV35" s="47">
        <f t="shared" si="17"/>
        <v>0</v>
      </c>
      <c r="AW35" s="47">
        <f>IF($R35="",0,$K35*$AD35*INDEX(Act_Type_Repex_Splits,MATCH($I35,Act_Type_Repex,0),MATCH(AW$5,Mat_Type,0))*INDEX(Escalators!$I$44:$U$49,MATCH(AW$5,Escalators!$C$44:$C$49,0),MATCH(AW$6,Escalators!$I$43:$U$43,0)))</f>
        <v>0</v>
      </c>
      <c r="AX35" s="47">
        <f>IF($R35="",0,$K35*$AD35*INDEX(Act_Type_Repex_Splits,MATCH($I35,Act_Type_Repex,0),MATCH(AX$5,Mat_Type,0))*INDEX(Escalators!$I$44:$U$49,MATCH(AX$5,Escalators!$C$44:$C$49,0),MATCH(AX$6,Escalators!$I$43:$U$43,0)))</f>
        <v>0</v>
      </c>
      <c r="AY35" s="47">
        <f>IF($R35="",0,$K35*$AD35*INDEX(Act_Type_Repex_Splits,MATCH($I35,Act_Type_Repex,0),MATCH(AY$5,Mat_Type,0))*INDEX(Escalators!$I$44:$U$49,MATCH(AY$5,Escalators!$C$44:$C$49,0),MATCH(AY$6,Escalators!$I$43:$U$43,0)))</f>
        <v>0</v>
      </c>
      <c r="AZ35" s="47">
        <f>IF($R35="",0,$K35*$AD35*INDEX(Act_Type_Repex_Splits,MATCH($I35,Act_Type_Repex,0),MATCH(AZ$5,Mat_Type,0))*INDEX(Escalators!$I$44:$U$49,MATCH(AZ$5,Escalators!$C$44:$C$49,0),MATCH(AZ$6,Escalators!$I$43:$U$43,0)))</f>
        <v>0</v>
      </c>
      <c r="BA35" s="47">
        <f>IF($R35="",0,$K35*$AD35*INDEX(Act_Type_Repex_Splits,MATCH($I35,Act_Type_Repex,0),MATCH(BA$5,Mat_Type,0))*INDEX(Escalators!$I$44:$U$49,MATCH(BA$5,Escalators!$C$44:$C$49,0),MATCH(BA$6,Escalators!$I$43:$U$43,0)))</f>
        <v>0</v>
      </c>
      <c r="BB35" s="47">
        <f t="shared" si="18"/>
        <v>0</v>
      </c>
      <c r="BC35" s="47">
        <f>IF($R35="",0,$L35*$AD35*INDEX(Act_Type_Repex_Splits,MATCH($I35,Act_Type_Repex,0),MATCH(BC$5,Mat_Type,0))*INDEX(Escalators!$I$44:$U$49,MATCH(BC$5,Escalators!$C$44:$C$49,0),MATCH(BC$6,Escalators!$I$43:$U$43,0)))</f>
        <v>0</v>
      </c>
      <c r="BD35" s="47">
        <f>IF($R35="",0,$L35*$AD35*INDEX(Act_Type_Repex_Splits,MATCH($I35,Act_Type_Repex,0),MATCH(BD$5,Mat_Type,0))*INDEX(Escalators!$I$44:$U$49,MATCH(BD$5,Escalators!$C$44:$C$49,0),MATCH(BD$6,Escalators!$I$43:$U$43,0)))</f>
        <v>0</v>
      </c>
      <c r="BE35" s="47">
        <f>IF($R35="",0,$L35*$AD35*INDEX(Act_Type_Repex_Splits,MATCH($I35,Act_Type_Repex,0),MATCH(BE$5,Mat_Type,0))*INDEX(Escalators!$I$44:$U$49,MATCH(BE$5,Escalators!$C$44:$C$49,0),MATCH(BE$6,Escalators!$I$43:$U$43,0)))</f>
        <v>0</v>
      </c>
      <c r="BF35" s="47">
        <f>IF($R35="",0,$L35*$AD35*INDEX(Act_Type_Repex_Splits,MATCH($I35,Act_Type_Repex,0),MATCH(BF$5,Mat_Type,0))*INDEX(Escalators!$I$44:$U$49,MATCH(BF$5,Escalators!$C$44:$C$49,0),MATCH(BF$6,Escalators!$I$43:$U$43,0)))</f>
        <v>0</v>
      </c>
      <c r="BG35" s="47">
        <f>IF($R35="",0,$L35*$AD35*INDEX(Act_Type_Repex_Splits,MATCH($I35,Act_Type_Repex,0),MATCH(BG$5,Mat_Type,0))*INDEX(Escalators!$I$44:$U$49,MATCH(BG$5,Escalators!$C$44:$C$49,0),MATCH(BG$6,Escalators!$I$43:$U$43,0)))</f>
        <v>0</v>
      </c>
      <c r="BH35" s="47">
        <f t="shared" si="19"/>
        <v>0</v>
      </c>
      <c r="BI35" s="47">
        <f>IF($R35="",0,$M35*$AD35*INDEX(Act_Type_Repex_Splits,MATCH($I35,Act_Type_Repex,0),MATCH(BI$5,Mat_Type,0))*INDEX(Escalators!$I$44:$U$49,MATCH(BI$5,Escalators!$C$44:$C$49,0),MATCH(BI$6,Escalators!$I$43:$U$43,0)))</f>
        <v>0</v>
      </c>
      <c r="BJ35" s="47">
        <f>IF($R35="",0,$M35*$AD35*INDEX(Act_Type_Repex_Splits,MATCH($I35,Act_Type_Repex,0),MATCH(BJ$5,Mat_Type,0))*INDEX(Escalators!$I$44:$U$49,MATCH(BJ$5,Escalators!$C$44:$C$49,0),MATCH(BJ$6,Escalators!$I$43:$U$43,0)))</f>
        <v>0</v>
      </c>
      <c r="BK35" s="47">
        <f>IF($R35="",0,$M35*$AD35*INDEX(Act_Type_Repex_Splits,MATCH($I35,Act_Type_Repex,0),MATCH(BK$5,Mat_Type,0))*INDEX(Escalators!$I$44:$U$49,MATCH(BK$5,Escalators!$C$44:$C$49,0),MATCH(BK$6,Escalators!$I$43:$U$43,0)))</f>
        <v>0</v>
      </c>
      <c r="BL35" s="47">
        <f>IF($R35="",0,$M35*$AD35*INDEX(Act_Type_Repex_Splits,MATCH($I35,Act_Type_Repex,0),MATCH(BL$5,Mat_Type,0))*INDEX(Escalators!$I$44:$U$49,MATCH(BL$5,Escalators!$C$44:$C$49,0),MATCH(BL$6,Escalators!$I$43:$U$43,0)))</f>
        <v>0</v>
      </c>
      <c r="BM35" s="47">
        <f>IF($R35="",0,$M35*$AD35*INDEX(Act_Type_Repex_Splits,MATCH($I35,Act_Type_Repex,0),MATCH(BM$5,Mat_Type,0))*INDEX(Escalators!$I$44:$U$49,MATCH(BM$5,Escalators!$C$44:$C$49,0),MATCH(BM$6,Escalators!$I$43:$U$43,0)))</f>
        <v>0</v>
      </c>
      <c r="BN35" s="47">
        <f t="shared" si="20"/>
        <v>0</v>
      </c>
      <c r="BO35" s="47">
        <f>IF($R35="",0,$N35*$AD35*INDEX(Act_Type_Repex_Splits,MATCH($I35,Act_Type_Repex,0),MATCH(BO$5,Mat_Type,0))*INDEX(Escalators!$I$44:$U$49,MATCH(BO$5,Escalators!$C$44:$C$49,0),MATCH(BO$6,Escalators!$I$43:$U$43,0)))</f>
        <v>0</v>
      </c>
      <c r="BP35" s="47">
        <f>IF($R35="",0,$N35*$AD35*INDEX(Act_Type_Repex_Splits,MATCH($I35,Act_Type_Repex,0),MATCH(BP$5,Mat_Type,0))*INDEX(Escalators!$I$44:$U$49,MATCH(BP$5,Escalators!$C$44:$C$49,0),MATCH(BP$6,Escalators!$I$43:$U$43,0)))</f>
        <v>0</v>
      </c>
      <c r="BQ35" s="47">
        <f>IF($R35="",0,$N35*$AD35*INDEX(Act_Type_Repex_Splits,MATCH($I35,Act_Type_Repex,0),MATCH(BQ$5,Mat_Type,0))*INDEX(Escalators!$I$44:$U$49,MATCH(BQ$5,Escalators!$C$44:$C$49,0),MATCH(BQ$6,Escalators!$I$43:$U$43,0)))</f>
        <v>0</v>
      </c>
      <c r="BR35" s="47">
        <f>IF($R35="",0,$N35*$AD35*INDEX(Act_Type_Repex_Splits,MATCH($I35,Act_Type_Repex,0),MATCH(BR$5,Mat_Type,0))*INDEX(Escalators!$I$44:$U$49,MATCH(BR$5,Escalators!$C$44:$C$49,0),MATCH(BR$6,Escalators!$I$43:$U$43,0)))</f>
        <v>0</v>
      </c>
      <c r="BS35" s="47">
        <f>IF($R35="",0,$N35*$AD35*INDEX(Act_Type_Repex_Splits,MATCH($I35,Act_Type_Repex,0),MATCH(BS$5,Mat_Type,0))*INDEX(Escalators!$I$44:$U$49,MATCH(BS$5,Escalators!$C$44:$C$49,0),MATCH(BS$6,Escalators!$I$43:$U$43,0)))</f>
        <v>0</v>
      </c>
      <c r="BT35" s="47">
        <f t="shared" si="21"/>
        <v>0</v>
      </c>
      <c r="BU35" s="47">
        <f>IF($R35="",0,$O35*$AD35*INDEX(Act_Type_Repex_Splits,MATCH($I35,Act_Type_Repex,0),MATCH(BU$5,Mat_Type,0))*INDEX(Escalators!$I$44:$U$49,MATCH(BU$5,Escalators!$C$44:$C$49,0),MATCH(BU$6,Escalators!$I$43:$U$43,0)))</f>
        <v>0</v>
      </c>
      <c r="BV35" s="47">
        <f>IF($R35="",0,$O35*$AD35*INDEX(Act_Type_Repex_Splits,MATCH($I35,Act_Type_Repex,0),MATCH(BV$5,Mat_Type,0))*INDEX(Escalators!$I$44:$U$49,MATCH(BV$5,Escalators!$C$44:$C$49,0),MATCH(BV$6,Escalators!$I$43:$U$43,0)))</f>
        <v>0</v>
      </c>
      <c r="BW35" s="47">
        <f>IF($R35="",0,$O35*$AD35*INDEX(Act_Type_Repex_Splits,MATCH($I35,Act_Type_Repex,0),MATCH(BW$5,Mat_Type,0))*INDEX(Escalators!$I$44:$U$49,MATCH(BW$5,Escalators!$C$44:$C$49,0),MATCH(BW$6,Escalators!$I$43:$U$43,0)))</f>
        <v>0</v>
      </c>
      <c r="BX35" s="47">
        <f>IF($R35="",0,$O35*$AD35*INDEX(Act_Type_Repex_Splits,MATCH($I35,Act_Type_Repex,0),MATCH(BX$5,Mat_Type,0))*INDEX(Escalators!$I$44:$U$49,MATCH(BX$5,Escalators!$C$44:$C$49,0),MATCH(BX$6,Escalators!$I$43:$U$43,0)))</f>
        <v>0</v>
      </c>
      <c r="BY35" s="47">
        <f>IF($R35="",0,$O35*$AD35*INDEX(Act_Type_Repex_Splits,MATCH($I35,Act_Type_Repex,0),MATCH(BY$5,Mat_Type,0))*INDEX(Escalators!$I$44:$U$49,MATCH(BY$5,Escalators!$C$44:$C$49,0),MATCH(BY$6,Escalators!$I$43:$U$43,0)))</f>
        <v>0</v>
      </c>
      <c r="BZ35" s="47">
        <f t="shared" si="22"/>
        <v>0</v>
      </c>
      <c r="CA35" s="47">
        <f>IF($R35="",0,$P35*$AD35*INDEX(Act_Type_Repex_Splits,MATCH($I35,Act_Type_Repex,0),MATCH(CA$5,Mat_Type,0))*INDEX(Escalators!$I$44:$U$49,MATCH(CA$5,Escalators!$C$44:$C$49,0),MATCH(CA$6,Escalators!$I$43:$U$43,0)))</f>
        <v>0</v>
      </c>
      <c r="CB35" s="47">
        <f>IF($R35="",0,$P35*$AD35*INDEX(Act_Type_Repex_Splits,MATCH($I35,Act_Type_Repex,0),MATCH(CB$5,Mat_Type,0))*INDEX(Escalators!$I$44:$U$49,MATCH(CB$5,Escalators!$C$44:$C$49,0),MATCH(CB$6,Escalators!$I$43:$U$43,0)))</f>
        <v>0</v>
      </c>
      <c r="CC35" s="47">
        <f>IF($R35="",0,$P35*$AD35*INDEX(Act_Type_Repex_Splits,MATCH($I35,Act_Type_Repex,0),MATCH(CC$5,Mat_Type,0))*INDEX(Escalators!$I$44:$U$49,MATCH(CC$5,Escalators!$C$44:$C$49,0),MATCH(CC$6,Escalators!$I$43:$U$43,0)))</f>
        <v>0</v>
      </c>
      <c r="CD35" s="47">
        <f>IF($R35="",0,$P35*$AD35*INDEX(Act_Type_Repex_Splits,MATCH($I35,Act_Type_Repex,0),MATCH(CD$5,Mat_Type,0))*INDEX(Escalators!$I$44:$U$49,MATCH(CD$5,Escalators!$C$44:$C$49,0),MATCH(CD$6,Escalators!$I$43:$U$43,0)))</f>
        <v>0</v>
      </c>
      <c r="CE35" s="47">
        <f>IF($R35="",0,$P35*$AD35*INDEX(Act_Type_Repex_Splits,MATCH($I35,Act_Type_Repex,0),MATCH(CE$5,Mat_Type,0))*INDEX(Escalators!$I$44:$U$49,MATCH(CE$5,Escalators!$C$44:$C$49,0),MATCH(CE$6,Escalators!$I$43:$U$43,0)))</f>
        <v>0</v>
      </c>
      <c r="CF35" s="47">
        <f t="shared" si="23"/>
        <v>0</v>
      </c>
      <c r="CG35" s="47">
        <f>IF($R35="",0,$Q35*$AD35*INDEX(Act_Type_Repex_Splits,MATCH($I35,Act_Type_Repex,0),MATCH(CG$5,Mat_Type,0))*INDEX(Escalators!$I$44:$U$49,MATCH(CG$5,Escalators!$C$44:$C$49,0),MATCH(CG$6,Escalators!$I$43:$U$43,0)))</f>
        <v>0</v>
      </c>
      <c r="CH35" s="47">
        <f>IF($R35="",0,$Q35*$AD35*INDEX(Act_Type_Repex_Splits,MATCH($I35,Act_Type_Repex,0),MATCH(CH$5,Mat_Type,0))*INDEX(Escalators!$I$44:$U$49,MATCH(CH$5,Escalators!$C$44:$C$49,0),MATCH(CH$6,Escalators!$I$43:$U$43,0)))</f>
        <v>0</v>
      </c>
      <c r="CI35" s="47">
        <f>IF($R35="",0,$Q35*$AD35*INDEX(Act_Type_Repex_Splits,MATCH($I35,Act_Type_Repex,0),MATCH(CI$5,Mat_Type,0))*INDEX(Escalators!$I$44:$U$49,MATCH(CI$5,Escalators!$C$44:$C$49,0),MATCH(CI$6,Escalators!$I$43:$U$43,0)))</f>
        <v>0</v>
      </c>
      <c r="CJ35" s="47">
        <f>IF($R35="",0,$Q35*$AD35*INDEX(Act_Type_Repex_Splits,MATCH($I35,Act_Type_Repex,0),MATCH(CJ$5,Mat_Type,0))*INDEX(Escalators!$I$44:$U$49,MATCH(CJ$5,Escalators!$C$44:$C$49,0),MATCH(CJ$6,Escalators!$I$43:$U$43,0)))</f>
        <v>0</v>
      </c>
      <c r="CK35" s="47">
        <f>IF($R35="",0,$Q35*$AD35*INDEX(Act_Type_Repex_Splits,MATCH($I35,Act_Type_Repex,0),MATCH(CK$5,Mat_Type,0))*INDEX(Escalators!$I$44:$U$49,MATCH(CK$5,Escalators!$C$44:$C$49,0),MATCH(CK$6,Escalators!$I$43:$U$43,0)))</f>
        <v>0</v>
      </c>
      <c r="CL35" s="47">
        <f t="shared" si="24"/>
        <v>0</v>
      </c>
      <c r="CN35" s="47">
        <f>IF($R35="",0,J35*$AE35*HLOOKUP(CN$6,Escalators!$I$25:$U$30,6,FALSE))</f>
        <v>0</v>
      </c>
      <c r="CO35" s="47">
        <f>IF($R35="",0,K35*$AE35*HLOOKUP(CO$6,Escalators!$I$25:$U$30,6,FALSE))</f>
        <v>0</v>
      </c>
      <c r="CP35" s="47">
        <f>IF($R35="",0,L35*$AE35*HLOOKUP(CP$6,Escalators!$I$25:$U$30,6,FALSE))</f>
        <v>0</v>
      </c>
      <c r="CQ35" s="47">
        <f>IF($R35="",0,M35*$AE35*HLOOKUP(CQ$6,Escalators!$I$25:$U$30,6,FALSE))</f>
        <v>0</v>
      </c>
      <c r="CR35" s="47">
        <f>IF($R35="",0,N35*$AE35*HLOOKUP(CR$6,Escalators!$I$25:$U$30,6,FALSE))</f>
        <v>0</v>
      </c>
      <c r="CS35" s="47">
        <f>IF($R35="",0,O35*$AE35*HLOOKUP(CS$6,Escalators!$I$25:$U$30,6,FALSE))</f>
        <v>0</v>
      </c>
      <c r="CT35" s="47">
        <f>IF($R35="",0,P35*$AE35*HLOOKUP(CT$6,Escalators!$I$25:$U$30,6,FALSE))</f>
        <v>0</v>
      </c>
      <c r="CU35" s="47">
        <f>IF($R35="",0,Q35*$AE35*HLOOKUP(CU$6,Escalators!$I$25:$U$30,6,FALSE))</f>
        <v>0</v>
      </c>
      <c r="CW35" s="47">
        <f t="shared" si="25"/>
        <v>0</v>
      </c>
      <c r="CX35" s="47">
        <f t="shared" si="26"/>
        <v>0</v>
      </c>
      <c r="CY35" s="47">
        <f t="shared" si="27"/>
        <v>0</v>
      </c>
      <c r="CZ35" s="47">
        <f t="shared" si="28"/>
        <v>0</v>
      </c>
      <c r="DA35" s="47">
        <f t="shared" si="29"/>
        <v>0</v>
      </c>
      <c r="DB35" s="47">
        <f t="shared" si="30"/>
        <v>0</v>
      </c>
      <c r="DC35" s="47">
        <f t="shared" si="31"/>
        <v>0</v>
      </c>
      <c r="DD35" s="47">
        <f t="shared" si="32"/>
        <v>0</v>
      </c>
      <c r="DF35" s="47">
        <f t="shared" si="33"/>
        <v>0</v>
      </c>
      <c r="DG35" s="47">
        <f t="shared" si="34"/>
        <v>0</v>
      </c>
      <c r="DH35" s="47">
        <f t="shared" si="35"/>
        <v>0</v>
      </c>
      <c r="DI35" s="47">
        <f t="shared" si="36"/>
        <v>0</v>
      </c>
      <c r="DJ35" s="47">
        <f t="shared" si="37"/>
        <v>0</v>
      </c>
      <c r="DK35" s="47">
        <f t="shared" si="38"/>
        <v>0</v>
      </c>
      <c r="DL35" s="47">
        <f t="shared" si="39"/>
        <v>0</v>
      </c>
      <c r="DM35" s="47">
        <f t="shared" si="40"/>
        <v>0</v>
      </c>
      <c r="DO35" s="39"/>
    </row>
    <row r="36" spans="2:119" x14ac:dyDescent="0.3">
      <c r="B36" s="7"/>
      <c r="C36" s="7"/>
      <c r="D36" s="7"/>
      <c r="E36" s="7"/>
      <c r="F36" s="7"/>
      <c r="G36" s="7"/>
      <c r="H36" s="7"/>
      <c r="I36" s="7"/>
      <c r="J36" s="7"/>
      <c r="K36" s="7"/>
      <c r="L36" s="7"/>
      <c r="M36" s="7"/>
      <c r="N36" s="7"/>
      <c r="O36" s="7"/>
      <c r="P36" s="7"/>
      <c r="Q36" s="7"/>
      <c r="R36" s="46"/>
      <c r="T36" s="47">
        <f t="shared" si="8"/>
        <v>0</v>
      </c>
      <c r="U36" s="47">
        <f t="shared" si="9"/>
        <v>0</v>
      </c>
      <c r="V36" s="47">
        <f t="shared" si="10"/>
        <v>0</v>
      </c>
      <c r="W36" s="47">
        <f t="shared" si="11"/>
        <v>0</v>
      </c>
      <c r="X36" s="47">
        <f t="shared" si="12"/>
        <v>0</v>
      </c>
      <c r="Y36" s="47">
        <f t="shared" si="13"/>
        <v>0</v>
      </c>
      <c r="Z36" s="47">
        <f t="shared" si="14"/>
        <v>0</v>
      </c>
      <c r="AA36" s="47">
        <f t="shared" si="15"/>
        <v>0</v>
      </c>
      <c r="AC36" s="83">
        <f t="shared" si="16"/>
        <v>0</v>
      </c>
      <c r="AD36" s="83">
        <f t="shared" si="16"/>
        <v>0</v>
      </c>
      <c r="AE36" s="83">
        <f t="shared" si="16"/>
        <v>0</v>
      </c>
      <c r="AF36" s="83">
        <f t="shared" si="16"/>
        <v>0</v>
      </c>
      <c r="AH36" s="47">
        <f>IF($R36="",0,J36*$AC36*HLOOKUP(AH$6,Escalators!$I$25:$U$30,3,FALSE))</f>
        <v>0</v>
      </c>
      <c r="AI36" s="47">
        <f>IF($R36="",0,K36*$AC36*HLOOKUP(AI$6,Escalators!$I$25:$U$30,3,FALSE))</f>
        <v>0</v>
      </c>
      <c r="AJ36" s="47">
        <f>IF($R36="",0,L36*$AC36*HLOOKUP(AJ$6,Escalators!$I$25:$U$30,3,FALSE))</f>
        <v>0</v>
      </c>
      <c r="AK36" s="47">
        <f>IF($R36="",0,M36*$AC36*HLOOKUP(AK$6,Escalators!$I$25:$U$30,3,FALSE))</f>
        <v>0</v>
      </c>
      <c r="AL36" s="47">
        <f>IF($R36="",0,N36*$AC36*HLOOKUP(AL$6,Escalators!$I$25:$U$30,3,FALSE))</f>
        <v>0</v>
      </c>
      <c r="AM36" s="47">
        <f>IF($R36="",0,O36*$AC36*HLOOKUP(AM$6,Escalators!$I$25:$U$30,3,FALSE))</f>
        <v>0</v>
      </c>
      <c r="AN36" s="47">
        <f>IF($R36="",0,P36*$AC36*HLOOKUP(AN$6,Escalators!$I$25:$U$30,3,FALSE))</f>
        <v>0</v>
      </c>
      <c r="AO36" s="47">
        <f>IF($R36="",0,Q36*$AC36*HLOOKUP(AO$6,Escalators!$I$25:$U$30,3,FALSE))</f>
        <v>0</v>
      </c>
      <c r="AQ36" s="6">
        <f>IF($R36="",0,$J36*$AD36*INDEX(Act_Type_Repex_Splits,MATCH($I36,Act_Type_Repex,0),MATCH(AQ$5,Mat_Type,0))*INDEX(Escalators!$I$44:$Q$49,MATCH(AQ$5,Escalators!$C$44:$C$49,0),MATCH(AQ$6,Escalators!$I$43:$Q$43,0)))</f>
        <v>0</v>
      </c>
      <c r="AR36" s="6">
        <f>IF($R36="",0,$J36*$AD36*INDEX(Act_Type_Repex_Splits,MATCH($I36,Act_Type_Repex,0),MATCH(AR$5,Mat_Type,0))*INDEX(Escalators!$I$44:$Q$49,MATCH(AR$5,Escalators!$C$44:$C$49,0),MATCH(AR$6,Escalators!$I$43:$Q$43,0)))</f>
        <v>0</v>
      </c>
      <c r="AS36" s="6">
        <f>IF($R36="",0,$J36*$AD36*INDEX(Act_Type_Repex_Splits,MATCH($I36,Act_Type_Repex,0),MATCH(AS$5,Mat_Type,0))*INDEX(Escalators!$I$44:$Q$49,MATCH(AS$5,Escalators!$C$44:$C$49,0),MATCH(AS$6,Escalators!$I$43:$Q$43,0)))</f>
        <v>0</v>
      </c>
      <c r="AT36" s="6">
        <f>IF($R36="",0,$J36*$AD36*INDEX(Act_Type_Repex_Splits,MATCH($I36,Act_Type_Repex,0),MATCH(AT$5,Mat_Type,0))*INDEX(Escalators!$I$44:$Q$49,MATCH(AT$5,Escalators!$C$44:$C$49,0),MATCH(AT$6,Escalators!$I$43:$Q$43,0)))</f>
        <v>0</v>
      </c>
      <c r="AU36" s="6">
        <f>IF($R36="",0,$J36*$AD36*INDEX(Act_Type_Repex_Splits,MATCH($I36,Act_Type_Repex,0),MATCH(AU$5,Mat_Type,0))*INDEX(Escalators!$I$44:$Q$49,MATCH(AU$5,Escalators!$C$44:$C$49,0),MATCH(AU$6,Escalators!$I$43:$Q$43,0)))</f>
        <v>0</v>
      </c>
      <c r="AV36" s="47">
        <f t="shared" si="17"/>
        <v>0</v>
      </c>
      <c r="AW36" s="47">
        <f>IF($R36="",0,$K36*$AD36*INDEX(Act_Type_Repex_Splits,MATCH($I36,Act_Type_Repex,0),MATCH(AW$5,Mat_Type,0))*INDEX(Escalators!$I$44:$U$49,MATCH(AW$5,Escalators!$C$44:$C$49,0),MATCH(AW$6,Escalators!$I$43:$U$43,0)))</f>
        <v>0</v>
      </c>
      <c r="AX36" s="47">
        <f>IF($R36="",0,$K36*$AD36*INDEX(Act_Type_Repex_Splits,MATCH($I36,Act_Type_Repex,0),MATCH(AX$5,Mat_Type,0))*INDEX(Escalators!$I$44:$U$49,MATCH(AX$5,Escalators!$C$44:$C$49,0),MATCH(AX$6,Escalators!$I$43:$U$43,0)))</f>
        <v>0</v>
      </c>
      <c r="AY36" s="47">
        <f>IF($R36="",0,$K36*$AD36*INDEX(Act_Type_Repex_Splits,MATCH($I36,Act_Type_Repex,0),MATCH(AY$5,Mat_Type,0))*INDEX(Escalators!$I$44:$U$49,MATCH(AY$5,Escalators!$C$44:$C$49,0),MATCH(AY$6,Escalators!$I$43:$U$43,0)))</f>
        <v>0</v>
      </c>
      <c r="AZ36" s="47">
        <f>IF($R36="",0,$K36*$AD36*INDEX(Act_Type_Repex_Splits,MATCH($I36,Act_Type_Repex,0),MATCH(AZ$5,Mat_Type,0))*INDEX(Escalators!$I$44:$U$49,MATCH(AZ$5,Escalators!$C$44:$C$49,0),MATCH(AZ$6,Escalators!$I$43:$U$43,0)))</f>
        <v>0</v>
      </c>
      <c r="BA36" s="47">
        <f>IF($R36="",0,$K36*$AD36*INDEX(Act_Type_Repex_Splits,MATCH($I36,Act_Type_Repex,0),MATCH(BA$5,Mat_Type,0))*INDEX(Escalators!$I$44:$U$49,MATCH(BA$5,Escalators!$C$44:$C$49,0),MATCH(BA$6,Escalators!$I$43:$U$43,0)))</f>
        <v>0</v>
      </c>
      <c r="BB36" s="47">
        <f t="shared" si="18"/>
        <v>0</v>
      </c>
      <c r="BC36" s="47">
        <f>IF($R36="",0,$L36*$AD36*INDEX(Act_Type_Repex_Splits,MATCH($I36,Act_Type_Repex,0),MATCH(BC$5,Mat_Type,0))*INDEX(Escalators!$I$44:$U$49,MATCH(BC$5,Escalators!$C$44:$C$49,0),MATCH(BC$6,Escalators!$I$43:$U$43,0)))</f>
        <v>0</v>
      </c>
      <c r="BD36" s="47">
        <f>IF($R36="",0,$L36*$AD36*INDEX(Act_Type_Repex_Splits,MATCH($I36,Act_Type_Repex,0),MATCH(BD$5,Mat_Type,0))*INDEX(Escalators!$I$44:$U$49,MATCH(BD$5,Escalators!$C$44:$C$49,0),MATCH(BD$6,Escalators!$I$43:$U$43,0)))</f>
        <v>0</v>
      </c>
      <c r="BE36" s="47">
        <f>IF($R36="",0,$L36*$AD36*INDEX(Act_Type_Repex_Splits,MATCH($I36,Act_Type_Repex,0),MATCH(BE$5,Mat_Type,0))*INDEX(Escalators!$I$44:$U$49,MATCH(BE$5,Escalators!$C$44:$C$49,0),MATCH(BE$6,Escalators!$I$43:$U$43,0)))</f>
        <v>0</v>
      </c>
      <c r="BF36" s="47">
        <f>IF($R36="",0,$L36*$AD36*INDEX(Act_Type_Repex_Splits,MATCH($I36,Act_Type_Repex,0),MATCH(BF$5,Mat_Type,0))*INDEX(Escalators!$I$44:$U$49,MATCH(BF$5,Escalators!$C$44:$C$49,0),MATCH(BF$6,Escalators!$I$43:$U$43,0)))</f>
        <v>0</v>
      </c>
      <c r="BG36" s="47">
        <f>IF($R36="",0,$L36*$AD36*INDEX(Act_Type_Repex_Splits,MATCH($I36,Act_Type_Repex,0),MATCH(BG$5,Mat_Type,0))*INDEX(Escalators!$I$44:$U$49,MATCH(BG$5,Escalators!$C$44:$C$49,0),MATCH(BG$6,Escalators!$I$43:$U$43,0)))</f>
        <v>0</v>
      </c>
      <c r="BH36" s="47">
        <f t="shared" si="19"/>
        <v>0</v>
      </c>
      <c r="BI36" s="47">
        <f>IF($R36="",0,$M36*$AD36*INDEX(Act_Type_Repex_Splits,MATCH($I36,Act_Type_Repex,0),MATCH(BI$5,Mat_Type,0))*INDEX(Escalators!$I$44:$U$49,MATCH(BI$5,Escalators!$C$44:$C$49,0),MATCH(BI$6,Escalators!$I$43:$U$43,0)))</f>
        <v>0</v>
      </c>
      <c r="BJ36" s="47">
        <f>IF($R36="",0,$M36*$AD36*INDEX(Act_Type_Repex_Splits,MATCH($I36,Act_Type_Repex,0),MATCH(BJ$5,Mat_Type,0))*INDEX(Escalators!$I$44:$U$49,MATCH(BJ$5,Escalators!$C$44:$C$49,0),MATCH(BJ$6,Escalators!$I$43:$U$43,0)))</f>
        <v>0</v>
      </c>
      <c r="BK36" s="47">
        <f>IF($R36="",0,$M36*$AD36*INDEX(Act_Type_Repex_Splits,MATCH($I36,Act_Type_Repex,0),MATCH(BK$5,Mat_Type,0))*INDEX(Escalators!$I$44:$U$49,MATCH(BK$5,Escalators!$C$44:$C$49,0),MATCH(BK$6,Escalators!$I$43:$U$43,0)))</f>
        <v>0</v>
      </c>
      <c r="BL36" s="47">
        <f>IF($R36="",0,$M36*$AD36*INDEX(Act_Type_Repex_Splits,MATCH($I36,Act_Type_Repex,0),MATCH(BL$5,Mat_Type,0))*INDEX(Escalators!$I$44:$U$49,MATCH(BL$5,Escalators!$C$44:$C$49,0),MATCH(BL$6,Escalators!$I$43:$U$43,0)))</f>
        <v>0</v>
      </c>
      <c r="BM36" s="47">
        <f>IF($R36="",0,$M36*$AD36*INDEX(Act_Type_Repex_Splits,MATCH($I36,Act_Type_Repex,0),MATCH(BM$5,Mat_Type,0))*INDEX(Escalators!$I$44:$U$49,MATCH(BM$5,Escalators!$C$44:$C$49,0),MATCH(BM$6,Escalators!$I$43:$U$43,0)))</f>
        <v>0</v>
      </c>
      <c r="BN36" s="47">
        <f t="shared" si="20"/>
        <v>0</v>
      </c>
      <c r="BO36" s="47">
        <f>IF($R36="",0,$N36*$AD36*INDEX(Act_Type_Repex_Splits,MATCH($I36,Act_Type_Repex,0),MATCH(BO$5,Mat_Type,0))*INDEX(Escalators!$I$44:$U$49,MATCH(BO$5,Escalators!$C$44:$C$49,0),MATCH(BO$6,Escalators!$I$43:$U$43,0)))</f>
        <v>0</v>
      </c>
      <c r="BP36" s="47">
        <f>IF($R36="",0,$N36*$AD36*INDEX(Act_Type_Repex_Splits,MATCH($I36,Act_Type_Repex,0),MATCH(BP$5,Mat_Type,0))*INDEX(Escalators!$I$44:$U$49,MATCH(BP$5,Escalators!$C$44:$C$49,0),MATCH(BP$6,Escalators!$I$43:$U$43,0)))</f>
        <v>0</v>
      </c>
      <c r="BQ36" s="47">
        <f>IF($R36="",0,$N36*$AD36*INDEX(Act_Type_Repex_Splits,MATCH($I36,Act_Type_Repex,0),MATCH(BQ$5,Mat_Type,0))*INDEX(Escalators!$I$44:$U$49,MATCH(BQ$5,Escalators!$C$44:$C$49,0),MATCH(BQ$6,Escalators!$I$43:$U$43,0)))</f>
        <v>0</v>
      </c>
      <c r="BR36" s="47">
        <f>IF($R36="",0,$N36*$AD36*INDEX(Act_Type_Repex_Splits,MATCH($I36,Act_Type_Repex,0),MATCH(BR$5,Mat_Type,0))*INDEX(Escalators!$I$44:$U$49,MATCH(BR$5,Escalators!$C$44:$C$49,0),MATCH(BR$6,Escalators!$I$43:$U$43,0)))</f>
        <v>0</v>
      </c>
      <c r="BS36" s="47">
        <f>IF($R36="",0,$N36*$AD36*INDEX(Act_Type_Repex_Splits,MATCH($I36,Act_Type_Repex,0),MATCH(BS$5,Mat_Type,0))*INDEX(Escalators!$I$44:$U$49,MATCH(BS$5,Escalators!$C$44:$C$49,0),MATCH(BS$6,Escalators!$I$43:$U$43,0)))</f>
        <v>0</v>
      </c>
      <c r="BT36" s="47">
        <f t="shared" si="21"/>
        <v>0</v>
      </c>
      <c r="BU36" s="47">
        <f>IF($R36="",0,$O36*$AD36*INDEX(Act_Type_Repex_Splits,MATCH($I36,Act_Type_Repex,0),MATCH(BU$5,Mat_Type,0))*INDEX(Escalators!$I$44:$U$49,MATCH(BU$5,Escalators!$C$44:$C$49,0),MATCH(BU$6,Escalators!$I$43:$U$43,0)))</f>
        <v>0</v>
      </c>
      <c r="BV36" s="47">
        <f>IF($R36="",0,$O36*$AD36*INDEX(Act_Type_Repex_Splits,MATCH($I36,Act_Type_Repex,0),MATCH(BV$5,Mat_Type,0))*INDEX(Escalators!$I$44:$U$49,MATCH(BV$5,Escalators!$C$44:$C$49,0),MATCH(BV$6,Escalators!$I$43:$U$43,0)))</f>
        <v>0</v>
      </c>
      <c r="BW36" s="47">
        <f>IF($R36="",0,$O36*$AD36*INDEX(Act_Type_Repex_Splits,MATCH($I36,Act_Type_Repex,0),MATCH(BW$5,Mat_Type,0))*INDEX(Escalators!$I$44:$U$49,MATCH(BW$5,Escalators!$C$44:$C$49,0),MATCH(BW$6,Escalators!$I$43:$U$43,0)))</f>
        <v>0</v>
      </c>
      <c r="BX36" s="47">
        <f>IF($R36="",0,$O36*$AD36*INDEX(Act_Type_Repex_Splits,MATCH($I36,Act_Type_Repex,0),MATCH(BX$5,Mat_Type,0))*INDEX(Escalators!$I$44:$U$49,MATCH(BX$5,Escalators!$C$44:$C$49,0),MATCH(BX$6,Escalators!$I$43:$U$43,0)))</f>
        <v>0</v>
      </c>
      <c r="BY36" s="47">
        <f>IF($R36="",0,$O36*$AD36*INDEX(Act_Type_Repex_Splits,MATCH($I36,Act_Type_Repex,0),MATCH(BY$5,Mat_Type,0))*INDEX(Escalators!$I$44:$U$49,MATCH(BY$5,Escalators!$C$44:$C$49,0),MATCH(BY$6,Escalators!$I$43:$U$43,0)))</f>
        <v>0</v>
      </c>
      <c r="BZ36" s="47">
        <f t="shared" si="22"/>
        <v>0</v>
      </c>
      <c r="CA36" s="47">
        <f>IF($R36="",0,$P36*$AD36*INDEX(Act_Type_Repex_Splits,MATCH($I36,Act_Type_Repex,0),MATCH(CA$5,Mat_Type,0))*INDEX(Escalators!$I$44:$U$49,MATCH(CA$5,Escalators!$C$44:$C$49,0),MATCH(CA$6,Escalators!$I$43:$U$43,0)))</f>
        <v>0</v>
      </c>
      <c r="CB36" s="47">
        <f>IF($R36="",0,$P36*$AD36*INDEX(Act_Type_Repex_Splits,MATCH($I36,Act_Type_Repex,0),MATCH(CB$5,Mat_Type,0))*INDEX(Escalators!$I$44:$U$49,MATCH(CB$5,Escalators!$C$44:$C$49,0),MATCH(CB$6,Escalators!$I$43:$U$43,0)))</f>
        <v>0</v>
      </c>
      <c r="CC36" s="47">
        <f>IF($R36="",0,$P36*$AD36*INDEX(Act_Type_Repex_Splits,MATCH($I36,Act_Type_Repex,0),MATCH(CC$5,Mat_Type,0))*INDEX(Escalators!$I$44:$U$49,MATCH(CC$5,Escalators!$C$44:$C$49,0),MATCH(CC$6,Escalators!$I$43:$U$43,0)))</f>
        <v>0</v>
      </c>
      <c r="CD36" s="47">
        <f>IF($R36="",0,$P36*$AD36*INDEX(Act_Type_Repex_Splits,MATCH($I36,Act_Type_Repex,0),MATCH(CD$5,Mat_Type,0))*INDEX(Escalators!$I$44:$U$49,MATCH(CD$5,Escalators!$C$44:$C$49,0),MATCH(CD$6,Escalators!$I$43:$U$43,0)))</f>
        <v>0</v>
      </c>
      <c r="CE36" s="47">
        <f>IF($R36="",0,$P36*$AD36*INDEX(Act_Type_Repex_Splits,MATCH($I36,Act_Type_Repex,0),MATCH(CE$5,Mat_Type,0))*INDEX(Escalators!$I$44:$U$49,MATCH(CE$5,Escalators!$C$44:$C$49,0),MATCH(CE$6,Escalators!$I$43:$U$43,0)))</f>
        <v>0</v>
      </c>
      <c r="CF36" s="47">
        <f t="shared" si="23"/>
        <v>0</v>
      </c>
      <c r="CG36" s="47">
        <f>IF($R36="",0,$Q36*$AD36*INDEX(Act_Type_Repex_Splits,MATCH($I36,Act_Type_Repex,0),MATCH(CG$5,Mat_Type,0))*INDEX(Escalators!$I$44:$U$49,MATCH(CG$5,Escalators!$C$44:$C$49,0),MATCH(CG$6,Escalators!$I$43:$U$43,0)))</f>
        <v>0</v>
      </c>
      <c r="CH36" s="47">
        <f>IF($R36="",0,$Q36*$AD36*INDEX(Act_Type_Repex_Splits,MATCH($I36,Act_Type_Repex,0),MATCH(CH$5,Mat_Type,0))*INDEX(Escalators!$I$44:$U$49,MATCH(CH$5,Escalators!$C$44:$C$49,0),MATCH(CH$6,Escalators!$I$43:$U$43,0)))</f>
        <v>0</v>
      </c>
      <c r="CI36" s="47">
        <f>IF($R36="",0,$Q36*$AD36*INDEX(Act_Type_Repex_Splits,MATCH($I36,Act_Type_Repex,0),MATCH(CI$5,Mat_Type,0))*INDEX(Escalators!$I$44:$U$49,MATCH(CI$5,Escalators!$C$44:$C$49,0),MATCH(CI$6,Escalators!$I$43:$U$43,0)))</f>
        <v>0</v>
      </c>
      <c r="CJ36" s="47">
        <f>IF($R36="",0,$Q36*$AD36*INDEX(Act_Type_Repex_Splits,MATCH($I36,Act_Type_Repex,0),MATCH(CJ$5,Mat_Type,0))*INDEX(Escalators!$I$44:$U$49,MATCH(CJ$5,Escalators!$C$44:$C$49,0),MATCH(CJ$6,Escalators!$I$43:$U$43,0)))</f>
        <v>0</v>
      </c>
      <c r="CK36" s="47">
        <f>IF($R36="",0,$Q36*$AD36*INDEX(Act_Type_Repex_Splits,MATCH($I36,Act_Type_Repex,0),MATCH(CK$5,Mat_Type,0))*INDEX(Escalators!$I$44:$U$49,MATCH(CK$5,Escalators!$C$44:$C$49,0),MATCH(CK$6,Escalators!$I$43:$U$43,0)))</f>
        <v>0</v>
      </c>
      <c r="CL36" s="47">
        <f t="shared" si="24"/>
        <v>0</v>
      </c>
      <c r="CN36" s="47">
        <f>IF($R36="",0,J36*$AE36*HLOOKUP(CN$6,Escalators!$I$25:$U$30,6,FALSE))</f>
        <v>0</v>
      </c>
      <c r="CO36" s="47">
        <f>IF($R36="",0,K36*$AE36*HLOOKUP(CO$6,Escalators!$I$25:$U$30,6,FALSE))</f>
        <v>0</v>
      </c>
      <c r="CP36" s="47">
        <f>IF($R36="",0,L36*$AE36*HLOOKUP(CP$6,Escalators!$I$25:$U$30,6,FALSE))</f>
        <v>0</v>
      </c>
      <c r="CQ36" s="47">
        <f>IF($R36="",0,M36*$AE36*HLOOKUP(CQ$6,Escalators!$I$25:$U$30,6,FALSE))</f>
        <v>0</v>
      </c>
      <c r="CR36" s="47">
        <f>IF($R36="",0,N36*$AE36*HLOOKUP(CR$6,Escalators!$I$25:$U$30,6,FALSE))</f>
        <v>0</v>
      </c>
      <c r="CS36" s="47">
        <f>IF($R36="",0,O36*$AE36*HLOOKUP(CS$6,Escalators!$I$25:$U$30,6,FALSE))</f>
        <v>0</v>
      </c>
      <c r="CT36" s="47">
        <f>IF($R36="",0,P36*$AE36*HLOOKUP(CT$6,Escalators!$I$25:$U$30,6,FALSE))</f>
        <v>0</v>
      </c>
      <c r="CU36" s="47">
        <f>IF($R36="",0,Q36*$AE36*HLOOKUP(CU$6,Escalators!$I$25:$U$30,6,FALSE))</f>
        <v>0</v>
      </c>
      <c r="CW36" s="47">
        <f t="shared" si="25"/>
        <v>0</v>
      </c>
      <c r="CX36" s="47">
        <f t="shared" si="26"/>
        <v>0</v>
      </c>
      <c r="CY36" s="47">
        <f t="shared" si="27"/>
        <v>0</v>
      </c>
      <c r="CZ36" s="47">
        <f t="shared" si="28"/>
        <v>0</v>
      </c>
      <c r="DA36" s="47">
        <f t="shared" si="29"/>
        <v>0</v>
      </c>
      <c r="DB36" s="47">
        <f t="shared" si="30"/>
        <v>0</v>
      </c>
      <c r="DC36" s="47">
        <f t="shared" si="31"/>
        <v>0</v>
      </c>
      <c r="DD36" s="47">
        <f t="shared" si="32"/>
        <v>0</v>
      </c>
      <c r="DF36" s="47">
        <f t="shared" si="33"/>
        <v>0</v>
      </c>
      <c r="DG36" s="47">
        <f t="shared" si="34"/>
        <v>0</v>
      </c>
      <c r="DH36" s="47">
        <f t="shared" si="35"/>
        <v>0</v>
      </c>
      <c r="DI36" s="47">
        <f t="shared" si="36"/>
        <v>0</v>
      </c>
      <c r="DJ36" s="47">
        <f t="shared" si="37"/>
        <v>0</v>
      </c>
      <c r="DK36" s="47">
        <f t="shared" si="38"/>
        <v>0</v>
      </c>
      <c r="DL36" s="47">
        <f t="shared" si="39"/>
        <v>0</v>
      </c>
      <c r="DM36" s="47">
        <f t="shared" si="40"/>
        <v>0</v>
      </c>
      <c r="DO36" s="39"/>
    </row>
    <row r="37" spans="2:119" x14ac:dyDescent="0.3">
      <c r="B37" s="7"/>
      <c r="C37" s="7"/>
      <c r="D37" s="7"/>
      <c r="E37" s="7"/>
      <c r="F37" s="7"/>
      <c r="G37" s="7"/>
      <c r="H37" s="7"/>
      <c r="I37" s="7"/>
      <c r="J37" s="7"/>
      <c r="K37" s="7"/>
      <c r="L37" s="7"/>
      <c r="M37" s="7"/>
      <c r="N37" s="7"/>
      <c r="O37" s="7"/>
      <c r="P37" s="7"/>
      <c r="Q37" s="7"/>
      <c r="R37" s="46"/>
      <c r="T37" s="47">
        <f t="shared" si="8"/>
        <v>0</v>
      </c>
      <c r="U37" s="47">
        <f t="shared" si="9"/>
        <v>0</v>
      </c>
      <c r="V37" s="47">
        <f t="shared" si="10"/>
        <v>0</v>
      </c>
      <c r="W37" s="47">
        <f t="shared" si="11"/>
        <v>0</v>
      </c>
      <c r="X37" s="47">
        <f t="shared" si="12"/>
        <v>0</v>
      </c>
      <c r="Y37" s="47">
        <f t="shared" si="13"/>
        <v>0</v>
      </c>
      <c r="Z37" s="47">
        <f t="shared" si="14"/>
        <v>0</v>
      </c>
      <c r="AA37" s="47">
        <f t="shared" si="15"/>
        <v>0</v>
      </c>
      <c r="AC37" s="83">
        <f t="shared" si="16"/>
        <v>0</v>
      </c>
      <c r="AD37" s="83">
        <f t="shared" si="16"/>
        <v>0</v>
      </c>
      <c r="AE37" s="83">
        <f t="shared" si="16"/>
        <v>0</v>
      </c>
      <c r="AF37" s="83">
        <f t="shared" si="16"/>
        <v>0</v>
      </c>
      <c r="AH37" s="47">
        <f>IF($R37="",0,J37*$AC37*HLOOKUP(AH$6,Escalators!$I$25:$U$30,3,FALSE))</f>
        <v>0</v>
      </c>
      <c r="AI37" s="47">
        <f>IF($R37="",0,K37*$AC37*HLOOKUP(AI$6,Escalators!$I$25:$U$30,3,FALSE))</f>
        <v>0</v>
      </c>
      <c r="AJ37" s="47">
        <f>IF($R37="",0,L37*$AC37*HLOOKUP(AJ$6,Escalators!$I$25:$U$30,3,FALSE))</f>
        <v>0</v>
      </c>
      <c r="AK37" s="47">
        <f>IF($R37="",0,M37*$AC37*HLOOKUP(AK$6,Escalators!$I$25:$U$30,3,FALSE))</f>
        <v>0</v>
      </c>
      <c r="AL37" s="47">
        <f>IF($R37="",0,N37*$AC37*HLOOKUP(AL$6,Escalators!$I$25:$U$30,3,FALSE))</f>
        <v>0</v>
      </c>
      <c r="AM37" s="47">
        <f>IF($R37="",0,O37*$AC37*HLOOKUP(AM$6,Escalators!$I$25:$U$30,3,FALSE))</f>
        <v>0</v>
      </c>
      <c r="AN37" s="47">
        <f>IF($R37="",0,P37*$AC37*HLOOKUP(AN$6,Escalators!$I$25:$U$30,3,FALSE))</f>
        <v>0</v>
      </c>
      <c r="AO37" s="47">
        <f>IF($R37="",0,Q37*$AC37*HLOOKUP(AO$6,Escalators!$I$25:$U$30,3,FALSE))</f>
        <v>0</v>
      </c>
      <c r="AQ37" s="6">
        <f>IF($R37="",0,$J37*$AD37*INDEX(Act_Type_Repex_Splits,MATCH($I37,Act_Type_Repex,0),MATCH(AQ$5,Mat_Type,0))*INDEX(Escalators!$I$44:$Q$49,MATCH(AQ$5,Escalators!$C$44:$C$49,0),MATCH(AQ$6,Escalators!$I$43:$Q$43,0)))</f>
        <v>0</v>
      </c>
      <c r="AR37" s="6">
        <f>IF($R37="",0,$J37*$AD37*INDEX(Act_Type_Repex_Splits,MATCH($I37,Act_Type_Repex,0),MATCH(AR$5,Mat_Type,0))*INDEX(Escalators!$I$44:$Q$49,MATCH(AR$5,Escalators!$C$44:$C$49,0),MATCH(AR$6,Escalators!$I$43:$Q$43,0)))</f>
        <v>0</v>
      </c>
      <c r="AS37" s="6">
        <f>IF($R37="",0,$J37*$AD37*INDEX(Act_Type_Repex_Splits,MATCH($I37,Act_Type_Repex,0),MATCH(AS$5,Mat_Type,0))*INDEX(Escalators!$I$44:$Q$49,MATCH(AS$5,Escalators!$C$44:$C$49,0),MATCH(AS$6,Escalators!$I$43:$Q$43,0)))</f>
        <v>0</v>
      </c>
      <c r="AT37" s="6">
        <f>IF($R37="",0,$J37*$AD37*INDEX(Act_Type_Repex_Splits,MATCH($I37,Act_Type_Repex,0),MATCH(AT$5,Mat_Type,0))*INDEX(Escalators!$I$44:$Q$49,MATCH(AT$5,Escalators!$C$44:$C$49,0),MATCH(AT$6,Escalators!$I$43:$Q$43,0)))</f>
        <v>0</v>
      </c>
      <c r="AU37" s="6">
        <f>IF($R37="",0,$J37*$AD37*INDEX(Act_Type_Repex_Splits,MATCH($I37,Act_Type_Repex,0),MATCH(AU$5,Mat_Type,0))*INDEX(Escalators!$I$44:$Q$49,MATCH(AU$5,Escalators!$C$44:$C$49,0),MATCH(AU$6,Escalators!$I$43:$Q$43,0)))</f>
        <v>0</v>
      </c>
      <c r="AV37" s="47">
        <f t="shared" si="17"/>
        <v>0</v>
      </c>
      <c r="AW37" s="47">
        <f>IF($R37="",0,$K37*$AD37*INDEX(Act_Type_Repex_Splits,MATCH($I37,Act_Type_Repex,0),MATCH(AW$5,Mat_Type,0))*INDEX(Escalators!$I$44:$U$49,MATCH(AW$5,Escalators!$C$44:$C$49,0),MATCH(AW$6,Escalators!$I$43:$U$43,0)))</f>
        <v>0</v>
      </c>
      <c r="AX37" s="47">
        <f>IF($R37="",0,$K37*$AD37*INDEX(Act_Type_Repex_Splits,MATCH($I37,Act_Type_Repex,0),MATCH(AX$5,Mat_Type,0))*INDEX(Escalators!$I$44:$U$49,MATCH(AX$5,Escalators!$C$44:$C$49,0),MATCH(AX$6,Escalators!$I$43:$U$43,0)))</f>
        <v>0</v>
      </c>
      <c r="AY37" s="47">
        <f>IF($R37="",0,$K37*$AD37*INDEX(Act_Type_Repex_Splits,MATCH($I37,Act_Type_Repex,0),MATCH(AY$5,Mat_Type,0))*INDEX(Escalators!$I$44:$U$49,MATCH(AY$5,Escalators!$C$44:$C$49,0),MATCH(AY$6,Escalators!$I$43:$U$43,0)))</f>
        <v>0</v>
      </c>
      <c r="AZ37" s="47">
        <f>IF($R37="",0,$K37*$AD37*INDEX(Act_Type_Repex_Splits,MATCH($I37,Act_Type_Repex,0),MATCH(AZ$5,Mat_Type,0))*INDEX(Escalators!$I$44:$U$49,MATCH(AZ$5,Escalators!$C$44:$C$49,0),MATCH(AZ$6,Escalators!$I$43:$U$43,0)))</f>
        <v>0</v>
      </c>
      <c r="BA37" s="47">
        <f>IF($R37="",0,$K37*$AD37*INDEX(Act_Type_Repex_Splits,MATCH($I37,Act_Type_Repex,0),MATCH(BA$5,Mat_Type,0))*INDEX(Escalators!$I$44:$U$49,MATCH(BA$5,Escalators!$C$44:$C$49,0),MATCH(BA$6,Escalators!$I$43:$U$43,0)))</f>
        <v>0</v>
      </c>
      <c r="BB37" s="47">
        <f t="shared" si="18"/>
        <v>0</v>
      </c>
      <c r="BC37" s="47">
        <f>IF($R37="",0,$L37*$AD37*INDEX(Act_Type_Repex_Splits,MATCH($I37,Act_Type_Repex,0),MATCH(BC$5,Mat_Type,0))*INDEX(Escalators!$I$44:$U$49,MATCH(BC$5,Escalators!$C$44:$C$49,0),MATCH(BC$6,Escalators!$I$43:$U$43,0)))</f>
        <v>0</v>
      </c>
      <c r="BD37" s="47">
        <f>IF($R37="",0,$L37*$AD37*INDEX(Act_Type_Repex_Splits,MATCH($I37,Act_Type_Repex,0),MATCH(BD$5,Mat_Type,0))*INDEX(Escalators!$I$44:$U$49,MATCH(BD$5,Escalators!$C$44:$C$49,0),MATCH(BD$6,Escalators!$I$43:$U$43,0)))</f>
        <v>0</v>
      </c>
      <c r="BE37" s="47">
        <f>IF($R37="",0,$L37*$AD37*INDEX(Act_Type_Repex_Splits,MATCH($I37,Act_Type_Repex,0),MATCH(BE$5,Mat_Type,0))*INDEX(Escalators!$I$44:$U$49,MATCH(BE$5,Escalators!$C$44:$C$49,0),MATCH(BE$6,Escalators!$I$43:$U$43,0)))</f>
        <v>0</v>
      </c>
      <c r="BF37" s="47">
        <f>IF($R37="",0,$L37*$AD37*INDEX(Act_Type_Repex_Splits,MATCH($I37,Act_Type_Repex,0),MATCH(BF$5,Mat_Type,0))*INDEX(Escalators!$I$44:$U$49,MATCH(BF$5,Escalators!$C$44:$C$49,0),MATCH(BF$6,Escalators!$I$43:$U$43,0)))</f>
        <v>0</v>
      </c>
      <c r="BG37" s="47">
        <f>IF($R37="",0,$L37*$AD37*INDEX(Act_Type_Repex_Splits,MATCH($I37,Act_Type_Repex,0),MATCH(BG$5,Mat_Type,0))*INDEX(Escalators!$I$44:$U$49,MATCH(BG$5,Escalators!$C$44:$C$49,0),MATCH(BG$6,Escalators!$I$43:$U$43,0)))</f>
        <v>0</v>
      </c>
      <c r="BH37" s="47">
        <f t="shared" si="19"/>
        <v>0</v>
      </c>
      <c r="BI37" s="47">
        <f>IF($R37="",0,$M37*$AD37*INDEX(Act_Type_Repex_Splits,MATCH($I37,Act_Type_Repex,0),MATCH(BI$5,Mat_Type,0))*INDEX(Escalators!$I$44:$U$49,MATCH(BI$5,Escalators!$C$44:$C$49,0),MATCH(BI$6,Escalators!$I$43:$U$43,0)))</f>
        <v>0</v>
      </c>
      <c r="BJ37" s="47">
        <f>IF($R37="",0,$M37*$AD37*INDEX(Act_Type_Repex_Splits,MATCH($I37,Act_Type_Repex,0),MATCH(BJ$5,Mat_Type,0))*INDEX(Escalators!$I$44:$U$49,MATCH(BJ$5,Escalators!$C$44:$C$49,0),MATCH(BJ$6,Escalators!$I$43:$U$43,0)))</f>
        <v>0</v>
      </c>
      <c r="BK37" s="47">
        <f>IF($R37="",0,$M37*$AD37*INDEX(Act_Type_Repex_Splits,MATCH($I37,Act_Type_Repex,0),MATCH(BK$5,Mat_Type,0))*INDEX(Escalators!$I$44:$U$49,MATCH(BK$5,Escalators!$C$44:$C$49,0),MATCH(BK$6,Escalators!$I$43:$U$43,0)))</f>
        <v>0</v>
      </c>
      <c r="BL37" s="47">
        <f>IF($R37="",0,$M37*$AD37*INDEX(Act_Type_Repex_Splits,MATCH($I37,Act_Type_Repex,0),MATCH(BL$5,Mat_Type,0))*INDEX(Escalators!$I$44:$U$49,MATCH(BL$5,Escalators!$C$44:$C$49,0),MATCH(BL$6,Escalators!$I$43:$U$43,0)))</f>
        <v>0</v>
      </c>
      <c r="BM37" s="47">
        <f>IF($R37="",0,$M37*$AD37*INDEX(Act_Type_Repex_Splits,MATCH($I37,Act_Type_Repex,0),MATCH(BM$5,Mat_Type,0))*INDEX(Escalators!$I$44:$U$49,MATCH(BM$5,Escalators!$C$44:$C$49,0),MATCH(BM$6,Escalators!$I$43:$U$43,0)))</f>
        <v>0</v>
      </c>
      <c r="BN37" s="47">
        <f t="shared" si="20"/>
        <v>0</v>
      </c>
      <c r="BO37" s="47">
        <f>IF($R37="",0,$N37*$AD37*INDEX(Act_Type_Repex_Splits,MATCH($I37,Act_Type_Repex,0),MATCH(BO$5,Mat_Type,0))*INDEX(Escalators!$I$44:$U$49,MATCH(BO$5,Escalators!$C$44:$C$49,0),MATCH(BO$6,Escalators!$I$43:$U$43,0)))</f>
        <v>0</v>
      </c>
      <c r="BP37" s="47">
        <f>IF($R37="",0,$N37*$AD37*INDEX(Act_Type_Repex_Splits,MATCH($I37,Act_Type_Repex,0),MATCH(BP$5,Mat_Type,0))*INDEX(Escalators!$I$44:$U$49,MATCH(BP$5,Escalators!$C$44:$C$49,0),MATCH(BP$6,Escalators!$I$43:$U$43,0)))</f>
        <v>0</v>
      </c>
      <c r="BQ37" s="47">
        <f>IF($R37="",0,$N37*$AD37*INDEX(Act_Type_Repex_Splits,MATCH($I37,Act_Type_Repex,0),MATCH(BQ$5,Mat_Type,0))*INDEX(Escalators!$I$44:$U$49,MATCH(BQ$5,Escalators!$C$44:$C$49,0),MATCH(BQ$6,Escalators!$I$43:$U$43,0)))</f>
        <v>0</v>
      </c>
      <c r="BR37" s="47">
        <f>IF($R37="",0,$N37*$AD37*INDEX(Act_Type_Repex_Splits,MATCH($I37,Act_Type_Repex,0),MATCH(BR$5,Mat_Type,0))*INDEX(Escalators!$I$44:$U$49,MATCH(BR$5,Escalators!$C$44:$C$49,0),MATCH(BR$6,Escalators!$I$43:$U$43,0)))</f>
        <v>0</v>
      </c>
      <c r="BS37" s="47">
        <f>IF($R37="",0,$N37*$AD37*INDEX(Act_Type_Repex_Splits,MATCH($I37,Act_Type_Repex,0),MATCH(BS$5,Mat_Type,0))*INDEX(Escalators!$I$44:$U$49,MATCH(BS$5,Escalators!$C$44:$C$49,0),MATCH(BS$6,Escalators!$I$43:$U$43,0)))</f>
        <v>0</v>
      </c>
      <c r="BT37" s="47">
        <f t="shared" si="21"/>
        <v>0</v>
      </c>
      <c r="BU37" s="47">
        <f>IF($R37="",0,$O37*$AD37*INDEX(Act_Type_Repex_Splits,MATCH($I37,Act_Type_Repex,0),MATCH(BU$5,Mat_Type,0))*INDEX(Escalators!$I$44:$U$49,MATCH(BU$5,Escalators!$C$44:$C$49,0),MATCH(BU$6,Escalators!$I$43:$U$43,0)))</f>
        <v>0</v>
      </c>
      <c r="BV37" s="47">
        <f>IF($R37="",0,$O37*$AD37*INDEX(Act_Type_Repex_Splits,MATCH($I37,Act_Type_Repex,0),MATCH(BV$5,Mat_Type,0))*INDEX(Escalators!$I$44:$U$49,MATCH(BV$5,Escalators!$C$44:$C$49,0),MATCH(BV$6,Escalators!$I$43:$U$43,0)))</f>
        <v>0</v>
      </c>
      <c r="BW37" s="47">
        <f>IF($R37="",0,$O37*$AD37*INDEX(Act_Type_Repex_Splits,MATCH($I37,Act_Type_Repex,0),MATCH(BW$5,Mat_Type,0))*INDEX(Escalators!$I$44:$U$49,MATCH(BW$5,Escalators!$C$44:$C$49,0),MATCH(BW$6,Escalators!$I$43:$U$43,0)))</f>
        <v>0</v>
      </c>
      <c r="BX37" s="47">
        <f>IF($R37="",0,$O37*$AD37*INDEX(Act_Type_Repex_Splits,MATCH($I37,Act_Type_Repex,0),MATCH(BX$5,Mat_Type,0))*INDEX(Escalators!$I$44:$U$49,MATCH(BX$5,Escalators!$C$44:$C$49,0),MATCH(BX$6,Escalators!$I$43:$U$43,0)))</f>
        <v>0</v>
      </c>
      <c r="BY37" s="47">
        <f>IF($R37="",0,$O37*$AD37*INDEX(Act_Type_Repex_Splits,MATCH($I37,Act_Type_Repex,0),MATCH(BY$5,Mat_Type,0))*INDEX(Escalators!$I$44:$U$49,MATCH(BY$5,Escalators!$C$44:$C$49,0),MATCH(BY$6,Escalators!$I$43:$U$43,0)))</f>
        <v>0</v>
      </c>
      <c r="BZ37" s="47">
        <f t="shared" si="22"/>
        <v>0</v>
      </c>
      <c r="CA37" s="47">
        <f>IF($R37="",0,$P37*$AD37*INDEX(Act_Type_Repex_Splits,MATCH($I37,Act_Type_Repex,0),MATCH(CA$5,Mat_Type,0))*INDEX(Escalators!$I$44:$U$49,MATCH(CA$5,Escalators!$C$44:$C$49,0),MATCH(CA$6,Escalators!$I$43:$U$43,0)))</f>
        <v>0</v>
      </c>
      <c r="CB37" s="47">
        <f>IF($R37="",0,$P37*$AD37*INDEX(Act_Type_Repex_Splits,MATCH($I37,Act_Type_Repex,0),MATCH(CB$5,Mat_Type,0))*INDEX(Escalators!$I$44:$U$49,MATCH(CB$5,Escalators!$C$44:$C$49,0),MATCH(CB$6,Escalators!$I$43:$U$43,0)))</f>
        <v>0</v>
      </c>
      <c r="CC37" s="47">
        <f>IF($R37="",0,$P37*$AD37*INDEX(Act_Type_Repex_Splits,MATCH($I37,Act_Type_Repex,0),MATCH(CC$5,Mat_Type,0))*INDEX(Escalators!$I$44:$U$49,MATCH(CC$5,Escalators!$C$44:$C$49,0),MATCH(CC$6,Escalators!$I$43:$U$43,0)))</f>
        <v>0</v>
      </c>
      <c r="CD37" s="47">
        <f>IF($R37="",0,$P37*$AD37*INDEX(Act_Type_Repex_Splits,MATCH($I37,Act_Type_Repex,0),MATCH(CD$5,Mat_Type,0))*INDEX(Escalators!$I$44:$U$49,MATCH(CD$5,Escalators!$C$44:$C$49,0),MATCH(CD$6,Escalators!$I$43:$U$43,0)))</f>
        <v>0</v>
      </c>
      <c r="CE37" s="47">
        <f>IF($R37="",0,$P37*$AD37*INDEX(Act_Type_Repex_Splits,MATCH($I37,Act_Type_Repex,0),MATCH(CE$5,Mat_Type,0))*INDEX(Escalators!$I$44:$U$49,MATCH(CE$5,Escalators!$C$44:$C$49,0),MATCH(CE$6,Escalators!$I$43:$U$43,0)))</f>
        <v>0</v>
      </c>
      <c r="CF37" s="47">
        <f t="shared" si="23"/>
        <v>0</v>
      </c>
      <c r="CG37" s="47">
        <f>IF($R37="",0,$Q37*$AD37*INDEX(Act_Type_Repex_Splits,MATCH($I37,Act_Type_Repex,0),MATCH(CG$5,Mat_Type,0))*INDEX(Escalators!$I$44:$U$49,MATCH(CG$5,Escalators!$C$44:$C$49,0),MATCH(CG$6,Escalators!$I$43:$U$43,0)))</f>
        <v>0</v>
      </c>
      <c r="CH37" s="47">
        <f>IF($R37="",0,$Q37*$AD37*INDEX(Act_Type_Repex_Splits,MATCH($I37,Act_Type_Repex,0),MATCH(CH$5,Mat_Type,0))*INDEX(Escalators!$I$44:$U$49,MATCH(CH$5,Escalators!$C$44:$C$49,0),MATCH(CH$6,Escalators!$I$43:$U$43,0)))</f>
        <v>0</v>
      </c>
      <c r="CI37" s="47">
        <f>IF($R37="",0,$Q37*$AD37*INDEX(Act_Type_Repex_Splits,MATCH($I37,Act_Type_Repex,0),MATCH(CI$5,Mat_Type,0))*INDEX(Escalators!$I$44:$U$49,MATCH(CI$5,Escalators!$C$44:$C$49,0),MATCH(CI$6,Escalators!$I$43:$U$43,0)))</f>
        <v>0</v>
      </c>
      <c r="CJ37" s="47">
        <f>IF($R37="",0,$Q37*$AD37*INDEX(Act_Type_Repex_Splits,MATCH($I37,Act_Type_Repex,0),MATCH(CJ$5,Mat_Type,0))*INDEX(Escalators!$I$44:$U$49,MATCH(CJ$5,Escalators!$C$44:$C$49,0),MATCH(CJ$6,Escalators!$I$43:$U$43,0)))</f>
        <v>0</v>
      </c>
      <c r="CK37" s="47">
        <f>IF($R37="",0,$Q37*$AD37*INDEX(Act_Type_Repex_Splits,MATCH($I37,Act_Type_Repex,0),MATCH(CK$5,Mat_Type,0))*INDEX(Escalators!$I$44:$U$49,MATCH(CK$5,Escalators!$C$44:$C$49,0),MATCH(CK$6,Escalators!$I$43:$U$43,0)))</f>
        <v>0</v>
      </c>
      <c r="CL37" s="47">
        <f t="shared" si="24"/>
        <v>0</v>
      </c>
      <c r="CN37" s="47">
        <f>IF($R37="",0,J37*$AE37*HLOOKUP(CN$6,Escalators!$I$25:$U$30,6,FALSE))</f>
        <v>0</v>
      </c>
      <c r="CO37" s="47">
        <f>IF($R37="",0,K37*$AE37*HLOOKUP(CO$6,Escalators!$I$25:$U$30,6,FALSE))</f>
        <v>0</v>
      </c>
      <c r="CP37" s="47">
        <f>IF($R37="",0,L37*$AE37*HLOOKUP(CP$6,Escalators!$I$25:$U$30,6,FALSE))</f>
        <v>0</v>
      </c>
      <c r="CQ37" s="47">
        <f>IF($R37="",0,M37*$AE37*HLOOKUP(CQ$6,Escalators!$I$25:$U$30,6,FALSE))</f>
        <v>0</v>
      </c>
      <c r="CR37" s="47">
        <f>IF($R37="",0,N37*$AE37*HLOOKUP(CR$6,Escalators!$I$25:$U$30,6,FALSE))</f>
        <v>0</v>
      </c>
      <c r="CS37" s="47">
        <f>IF($R37="",0,O37*$AE37*HLOOKUP(CS$6,Escalators!$I$25:$U$30,6,FALSE))</f>
        <v>0</v>
      </c>
      <c r="CT37" s="47">
        <f>IF($R37="",0,P37*$AE37*HLOOKUP(CT$6,Escalators!$I$25:$U$30,6,FALSE))</f>
        <v>0</v>
      </c>
      <c r="CU37" s="47">
        <f>IF($R37="",0,Q37*$AE37*HLOOKUP(CU$6,Escalators!$I$25:$U$30,6,FALSE))</f>
        <v>0</v>
      </c>
      <c r="CW37" s="47">
        <f t="shared" si="25"/>
        <v>0</v>
      </c>
      <c r="CX37" s="47">
        <f t="shared" si="26"/>
        <v>0</v>
      </c>
      <c r="CY37" s="47">
        <f t="shared" si="27"/>
        <v>0</v>
      </c>
      <c r="CZ37" s="47">
        <f t="shared" si="28"/>
        <v>0</v>
      </c>
      <c r="DA37" s="47">
        <f t="shared" si="29"/>
        <v>0</v>
      </c>
      <c r="DB37" s="47">
        <f t="shared" si="30"/>
        <v>0</v>
      </c>
      <c r="DC37" s="47">
        <f t="shared" si="31"/>
        <v>0</v>
      </c>
      <c r="DD37" s="47">
        <f t="shared" si="32"/>
        <v>0</v>
      </c>
      <c r="DF37" s="47">
        <f t="shared" si="33"/>
        <v>0</v>
      </c>
      <c r="DG37" s="47">
        <f t="shared" si="34"/>
        <v>0</v>
      </c>
      <c r="DH37" s="47">
        <f t="shared" si="35"/>
        <v>0</v>
      </c>
      <c r="DI37" s="47">
        <f t="shared" si="36"/>
        <v>0</v>
      </c>
      <c r="DJ37" s="47">
        <f t="shared" si="37"/>
        <v>0</v>
      </c>
      <c r="DK37" s="47">
        <f t="shared" si="38"/>
        <v>0</v>
      </c>
      <c r="DL37" s="47">
        <f t="shared" si="39"/>
        <v>0</v>
      </c>
      <c r="DM37" s="47">
        <f t="shared" si="40"/>
        <v>0</v>
      </c>
      <c r="DO37" s="39"/>
    </row>
    <row r="38" spans="2:119" x14ac:dyDescent="0.3">
      <c r="T38" s="575">
        <f t="shared" ref="T38:AA38" si="41">SUM(T7:T37)</f>
        <v>0</v>
      </c>
      <c r="U38" s="575">
        <f t="shared" ref="U38:V38" si="42">SUM(U7:U37)</f>
        <v>0</v>
      </c>
      <c r="V38" s="575">
        <f t="shared" si="42"/>
        <v>0</v>
      </c>
      <c r="W38" s="575">
        <f t="shared" si="41"/>
        <v>0</v>
      </c>
      <c r="X38" s="575">
        <f t="shared" si="41"/>
        <v>0</v>
      </c>
      <c r="Y38" s="575">
        <f t="shared" si="41"/>
        <v>0</v>
      </c>
      <c r="Z38" s="575">
        <f t="shared" si="41"/>
        <v>0</v>
      </c>
      <c r="AA38" s="575">
        <f t="shared" si="41"/>
        <v>0</v>
      </c>
      <c r="AB38" s="537"/>
      <c r="AC38" s="537"/>
      <c r="AD38" s="537"/>
      <c r="AE38" s="537"/>
      <c r="AF38" s="537"/>
      <c r="AG38" s="537"/>
      <c r="AH38" s="575">
        <f t="shared" ref="AH38:AO38" si="43">SUM(AH7:AH37)</f>
        <v>0</v>
      </c>
      <c r="AI38" s="575">
        <f t="shared" ref="AI38:AJ38" si="44">SUM(AI7:AI37)</f>
        <v>0</v>
      </c>
      <c r="AJ38" s="575">
        <f t="shared" si="44"/>
        <v>0</v>
      </c>
      <c r="AK38" s="575">
        <f t="shared" si="43"/>
        <v>0</v>
      </c>
      <c r="AL38" s="575">
        <f t="shared" si="43"/>
        <v>0</v>
      </c>
      <c r="AM38" s="575">
        <f t="shared" si="43"/>
        <v>0</v>
      </c>
      <c r="AN38" s="575">
        <f t="shared" si="43"/>
        <v>0</v>
      </c>
      <c r="AO38" s="575">
        <f t="shared" si="43"/>
        <v>0</v>
      </c>
      <c r="AP38" s="537"/>
      <c r="AQ38" s="575">
        <f>SUM(AQ7:AQ37)</f>
        <v>0</v>
      </c>
      <c r="AR38" s="575">
        <f>SUM(AR7:AR37)</f>
        <v>0</v>
      </c>
      <c r="AS38" s="575">
        <f>SUM(AS7:AS37)</f>
        <v>0</v>
      </c>
      <c r="AT38" s="575">
        <f>SUM(AT7:AT37)</f>
        <v>0</v>
      </c>
      <c r="AU38" s="575">
        <f>SUM(AU7:AU37)</f>
        <v>0</v>
      </c>
      <c r="AV38" s="575">
        <f t="shared" ref="AV38:CL38" si="45">SUM(AV7:AV37)</f>
        <v>0</v>
      </c>
      <c r="AW38" s="575">
        <f t="shared" ref="AW38:BH38" si="46">SUM(AW7:AW37)</f>
        <v>0</v>
      </c>
      <c r="AX38" s="575">
        <f t="shared" si="46"/>
        <v>0</v>
      </c>
      <c r="AY38" s="575">
        <f t="shared" si="46"/>
        <v>0</v>
      </c>
      <c r="AZ38" s="575">
        <f t="shared" si="46"/>
        <v>0</v>
      </c>
      <c r="BA38" s="575">
        <f t="shared" si="46"/>
        <v>0</v>
      </c>
      <c r="BB38" s="575">
        <f t="shared" si="46"/>
        <v>0</v>
      </c>
      <c r="BC38" s="575">
        <f t="shared" si="46"/>
        <v>0</v>
      </c>
      <c r="BD38" s="575">
        <f t="shared" si="46"/>
        <v>0</v>
      </c>
      <c r="BE38" s="575">
        <f t="shared" si="46"/>
        <v>0</v>
      </c>
      <c r="BF38" s="575">
        <f t="shared" si="46"/>
        <v>0</v>
      </c>
      <c r="BG38" s="575">
        <f t="shared" si="46"/>
        <v>0</v>
      </c>
      <c r="BH38" s="575">
        <f t="shared" si="46"/>
        <v>0</v>
      </c>
      <c r="BI38" s="575">
        <f t="shared" si="45"/>
        <v>0</v>
      </c>
      <c r="BJ38" s="575">
        <f t="shared" si="45"/>
        <v>0</v>
      </c>
      <c r="BK38" s="575">
        <f t="shared" si="45"/>
        <v>0</v>
      </c>
      <c r="BL38" s="575">
        <f t="shared" si="45"/>
        <v>0</v>
      </c>
      <c r="BM38" s="575">
        <f t="shared" si="45"/>
        <v>0</v>
      </c>
      <c r="BN38" s="575">
        <f t="shared" si="45"/>
        <v>0</v>
      </c>
      <c r="BO38" s="575">
        <f t="shared" si="45"/>
        <v>0</v>
      </c>
      <c r="BP38" s="575">
        <f t="shared" si="45"/>
        <v>0</v>
      </c>
      <c r="BQ38" s="575">
        <f t="shared" si="45"/>
        <v>0</v>
      </c>
      <c r="BR38" s="575">
        <f t="shared" si="45"/>
        <v>0</v>
      </c>
      <c r="BS38" s="575">
        <f t="shared" si="45"/>
        <v>0</v>
      </c>
      <c r="BT38" s="575">
        <f t="shared" si="45"/>
        <v>0</v>
      </c>
      <c r="BU38" s="575">
        <f t="shared" si="45"/>
        <v>0</v>
      </c>
      <c r="BV38" s="575">
        <f t="shared" si="45"/>
        <v>0</v>
      </c>
      <c r="BW38" s="575">
        <f t="shared" si="45"/>
        <v>0</v>
      </c>
      <c r="BX38" s="575">
        <f t="shared" si="45"/>
        <v>0</v>
      </c>
      <c r="BY38" s="575">
        <f t="shared" si="45"/>
        <v>0</v>
      </c>
      <c r="BZ38" s="575">
        <f t="shared" si="45"/>
        <v>0</v>
      </c>
      <c r="CA38" s="575">
        <f t="shared" si="45"/>
        <v>0</v>
      </c>
      <c r="CB38" s="575">
        <f t="shared" si="45"/>
        <v>0</v>
      </c>
      <c r="CC38" s="575">
        <f t="shared" si="45"/>
        <v>0</v>
      </c>
      <c r="CD38" s="575">
        <f t="shared" si="45"/>
        <v>0</v>
      </c>
      <c r="CE38" s="575">
        <f t="shared" si="45"/>
        <v>0</v>
      </c>
      <c r="CF38" s="575">
        <f t="shared" si="45"/>
        <v>0</v>
      </c>
      <c r="CG38" s="575">
        <f t="shared" si="45"/>
        <v>0</v>
      </c>
      <c r="CH38" s="575">
        <f t="shared" si="45"/>
        <v>0</v>
      </c>
      <c r="CI38" s="575">
        <f t="shared" si="45"/>
        <v>0</v>
      </c>
      <c r="CJ38" s="575">
        <f t="shared" si="45"/>
        <v>0</v>
      </c>
      <c r="CK38" s="575">
        <f t="shared" si="45"/>
        <v>0</v>
      </c>
      <c r="CL38" s="575">
        <f t="shared" si="45"/>
        <v>0</v>
      </c>
      <c r="CM38" s="537"/>
      <c r="CN38" s="575">
        <f t="shared" ref="CN38:CU38" si="47">SUM(CN7:CN37)</f>
        <v>0</v>
      </c>
      <c r="CO38" s="575">
        <f t="shared" ref="CO38" si="48">SUM(CO7:CO37)</f>
        <v>0</v>
      </c>
      <c r="CP38" s="575">
        <f t="shared" si="47"/>
        <v>0</v>
      </c>
      <c r="CQ38" s="575">
        <f t="shared" si="47"/>
        <v>0</v>
      </c>
      <c r="CR38" s="575">
        <f t="shared" si="47"/>
        <v>0</v>
      </c>
      <c r="CS38" s="575">
        <f t="shared" si="47"/>
        <v>0</v>
      </c>
      <c r="CT38" s="575">
        <f t="shared" si="47"/>
        <v>0</v>
      </c>
      <c r="CU38" s="575">
        <f t="shared" si="47"/>
        <v>0</v>
      </c>
      <c r="CV38" s="537"/>
      <c r="CW38" s="575">
        <f t="shared" ref="CW38:DD38" si="49">SUM(CW7:CW37)</f>
        <v>0</v>
      </c>
      <c r="CX38" s="575">
        <f t="shared" ref="CX38" si="50">SUM(CX7:CX37)</f>
        <v>0</v>
      </c>
      <c r="CY38" s="575">
        <f t="shared" si="49"/>
        <v>0</v>
      </c>
      <c r="CZ38" s="575">
        <f t="shared" si="49"/>
        <v>0</v>
      </c>
      <c r="DA38" s="575">
        <f t="shared" si="49"/>
        <v>0</v>
      </c>
      <c r="DB38" s="575">
        <f t="shared" si="49"/>
        <v>0</v>
      </c>
      <c r="DC38" s="575">
        <f t="shared" si="49"/>
        <v>0</v>
      </c>
      <c r="DD38" s="575">
        <f t="shared" si="49"/>
        <v>0</v>
      </c>
      <c r="DE38" s="537"/>
      <c r="DF38" s="575">
        <f t="shared" ref="DF38:DM38" si="51">SUM(DF7:DF37)</f>
        <v>0</v>
      </c>
      <c r="DG38" s="575">
        <f t="shared" ref="DG38" si="52">SUM(DG7:DG37)</f>
        <v>0</v>
      </c>
      <c r="DH38" s="575">
        <f t="shared" si="51"/>
        <v>0</v>
      </c>
      <c r="DI38" s="575">
        <f t="shared" si="51"/>
        <v>0</v>
      </c>
      <c r="DJ38" s="575">
        <f t="shared" si="51"/>
        <v>0</v>
      </c>
      <c r="DK38" s="575">
        <f t="shared" si="51"/>
        <v>0</v>
      </c>
      <c r="DL38" s="575">
        <f t="shared" si="51"/>
        <v>0</v>
      </c>
      <c r="DM38" s="575">
        <f t="shared" si="51"/>
        <v>0</v>
      </c>
    </row>
    <row r="39" spans="2:119" x14ac:dyDescent="0.3">
      <c r="DF39" s="85">
        <f t="shared" ref="DF39:DM39" si="53">IF(ISERROR((DF38-T38)/T38),0,(DF38-T38)/T38)</f>
        <v>0</v>
      </c>
      <c r="DG39" s="85">
        <f t="shared" si="53"/>
        <v>0</v>
      </c>
      <c r="DH39" s="85">
        <f t="shared" si="53"/>
        <v>0</v>
      </c>
      <c r="DI39" s="85">
        <f t="shared" si="53"/>
        <v>0</v>
      </c>
      <c r="DJ39" s="85">
        <f t="shared" si="53"/>
        <v>0</v>
      </c>
      <c r="DK39" s="85">
        <f t="shared" si="53"/>
        <v>0</v>
      </c>
      <c r="DL39" s="85">
        <f t="shared" si="53"/>
        <v>0</v>
      </c>
      <c r="DM39" s="85">
        <f t="shared" si="53"/>
        <v>0</v>
      </c>
    </row>
    <row r="40" spans="2:119" x14ac:dyDescent="0.3">
      <c r="AA40" s="39"/>
    </row>
    <row r="41" spans="2:119" x14ac:dyDescent="0.3">
      <c r="DE41" s="597" t="s">
        <v>695</v>
      </c>
      <c r="DF41" s="597"/>
      <c r="DG41" s="597"/>
      <c r="DH41" s="523"/>
      <c r="DI41" s="523"/>
      <c r="DJ41" s="523"/>
      <c r="DK41" s="523"/>
      <c r="DL41" s="523"/>
      <c r="DM41" s="523"/>
      <c r="DN41" s="185" t="s">
        <v>747</v>
      </c>
    </row>
    <row r="42" spans="2:119" x14ac:dyDescent="0.3">
      <c r="DE42" s="597"/>
      <c r="DF42" s="597"/>
      <c r="DG42" s="597"/>
      <c r="DH42" s="523"/>
      <c r="DI42" s="523"/>
      <c r="DJ42" s="523"/>
      <c r="DK42" s="523"/>
      <c r="DL42" s="523"/>
      <c r="DM42" s="523"/>
      <c r="DN42" s="185" t="s">
        <v>748</v>
      </c>
    </row>
    <row r="43" spans="2:119" x14ac:dyDescent="0.3">
      <c r="DE43" s="597"/>
      <c r="DF43" s="597"/>
      <c r="DG43" s="597"/>
    </row>
    <row r="44" spans="2:119" x14ac:dyDescent="0.3">
      <c r="DE44" s="597"/>
      <c r="DF44" s="597"/>
      <c r="DG44" s="597"/>
    </row>
  </sheetData>
  <mergeCells count="13">
    <mergeCell ref="DE41:DG44"/>
    <mergeCell ref="CN3:CU3"/>
    <mergeCell ref="DF3:DM3"/>
    <mergeCell ref="T3:AA3"/>
    <mergeCell ref="AH3:AO3"/>
    <mergeCell ref="CW3:DD3"/>
    <mergeCell ref="M1:N1"/>
    <mergeCell ref="J5:Q5"/>
    <mergeCell ref="T5:AA5"/>
    <mergeCell ref="CW5:DD5"/>
    <mergeCell ref="DF5:DM5"/>
    <mergeCell ref="CN5:CU5"/>
    <mergeCell ref="AH5:AO5"/>
  </mergeCells>
  <dataValidations xWindow="1245" yWindow="746" count="1">
    <dataValidation type="list" errorStyle="warning" showInputMessage="1" showErrorMessage="1" error="Invalid data entered" prompt="Select from drop down list" sqref="G29:G37" xr:uid="{00000000-0002-0000-0F00-000000000000}">
      <formula1>$C$16:$C$27</formula1>
    </dataValidation>
  </dataValidations>
  <hyperlinks>
    <hyperlink ref="B2" location="Contents!A1" display="Table of Contents" xr:uid="{00000000-0004-0000-0F00-000000000000}"/>
  </hyperlink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xWindow="1245" yWindow="746" count="6">
        <x14:dataValidation type="list" errorStyle="warning" showInputMessage="1" showErrorMessage="1" error="Invalid data entered" prompt="Select from drop down list" xr:uid="{00000000-0002-0000-0F00-000001000000}">
          <x14:formula1>
            <xm:f>Lookups!$C$5:$C$13</xm:f>
          </x14:formula1>
          <xm:sqref>E7:E37</xm:sqref>
        </x14:dataValidation>
        <x14:dataValidation type="list" errorStyle="warning" showInputMessage="1" showErrorMessage="1" error="Invalid data entered" prompt="Select from drop down list" xr:uid="{00000000-0002-0000-0F00-000002000000}">
          <x14:formula1>
            <xm:f>Lookups!$C$16:$C$27</xm:f>
          </x14:formula1>
          <xm:sqref>F7:F37</xm:sqref>
        </x14:dataValidation>
        <x14:dataValidation type="list" errorStyle="warning" allowBlank="1" showInputMessage="1" showErrorMessage="1" prompt="Select from drop down list" xr:uid="{00000000-0002-0000-0F00-000003000000}">
          <x14:formula1>
            <xm:f>Lab_Mat!$C$62:$C$98</xm:f>
          </x14:formula1>
          <xm:sqref>I7:I37</xm:sqref>
        </x14:dataValidation>
        <x14:dataValidation type="list" errorStyle="warning" showInputMessage="1" showErrorMessage="1" error="Invalid data entered" prompt="Select from drop down list" xr:uid="{00000000-0002-0000-0F00-000004000000}">
          <x14:formula1>
            <xm:f>Lookups!$I$5:$I$10</xm:f>
          </x14:formula1>
          <xm:sqref>G7:G28</xm:sqref>
        </x14:dataValidation>
        <x14:dataValidation type="list" errorStyle="warning" allowBlank="1" showInputMessage="1" showErrorMessage="1" prompt="Select from drop down list" xr:uid="{00000000-0002-0000-0F00-000005000000}">
          <x14:formula1>
            <xm:f>Lab_Mat!$C$13:$C$22</xm:f>
          </x14:formula1>
          <xm:sqref>H7:H11 H19:H37 H14:H16</xm:sqref>
        </x14:dataValidation>
        <x14:dataValidation type="list" errorStyle="warning" allowBlank="1" showInputMessage="1" showErrorMessage="1" prompt="Select from drop down list" xr:uid="{00000000-0002-0000-0F00-000006000000}">
          <x14:formula1>
            <xm:f>Lab_Mat!$C$6:$C$22</xm:f>
          </x14:formula1>
          <xm:sqref>H12:H13 H17:H18</xm:sqref>
        </x14:dataValidation>
      </x14:dataValidations>
    </ex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B1:DE60"/>
  <sheetViews>
    <sheetView zoomScale="70" zoomScaleNormal="70" zoomScalePageLayoutView="125" workbookViewId="0">
      <pane xSplit="4" topLeftCell="J1" activePane="topRight" state="frozen"/>
      <selection activeCell="K29" sqref="K29"/>
      <selection pane="topRight" activeCell="L1" sqref="L1"/>
    </sheetView>
  </sheetViews>
  <sheetFormatPr defaultColWidth="8.88671875" defaultRowHeight="14.4" outlineLevelRow="1" outlineLevelCol="1" x14ac:dyDescent="0.3"/>
  <cols>
    <col min="1" max="1" width="4" style="1" customWidth="1"/>
    <col min="2" max="2" width="12" style="1" customWidth="1"/>
    <col min="3" max="3" width="44.6640625" style="1" bestFit="1" customWidth="1"/>
    <col min="4" max="4" width="22.44140625" style="1" customWidth="1"/>
    <col min="5" max="5" width="24.44140625" style="1" hidden="1" customWidth="1" outlineLevel="1"/>
    <col min="6" max="7" width="33.44140625" style="1" hidden="1" customWidth="1" outlineLevel="1"/>
    <col min="8" max="8" width="29.88671875" style="1" hidden="1" customWidth="1" outlineLevel="1"/>
    <col min="9" max="9" width="28.44140625" style="1" hidden="1" customWidth="1" outlineLevel="1"/>
    <col min="10" max="10" width="9.33203125" style="1" customWidth="1" collapsed="1"/>
    <col min="11" max="17" width="9.33203125" style="1" customWidth="1"/>
    <col min="18" max="18" width="2.88671875"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10.44140625"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2.6640625" style="1" customWidth="1"/>
    <col min="77" max="84" width="8.88671875" style="1"/>
    <col min="85" max="85" width="2.88671875" style="1" customWidth="1"/>
    <col min="86" max="93" width="8.88671875" style="1"/>
    <col min="94" max="94" width="2.88671875" style="1" customWidth="1"/>
    <col min="95" max="16384" width="8.88671875" style="1"/>
  </cols>
  <sheetData>
    <row r="1" spans="2:109" ht="18" x14ac:dyDescent="0.35">
      <c r="B1" s="10" t="s">
        <v>254</v>
      </c>
      <c r="M1" s="582"/>
      <c r="N1" s="582"/>
    </row>
    <row r="2" spans="2:109" x14ac:dyDescent="0.3">
      <c r="B2" s="25" t="s">
        <v>6</v>
      </c>
    </row>
    <row r="3" spans="2:109" x14ac:dyDescent="0.3">
      <c r="J3" s="592"/>
      <c r="K3" s="592"/>
      <c r="L3" s="592"/>
      <c r="M3" s="592"/>
      <c r="N3" s="592"/>
      <c r="O3" s="592"/>
      <c r="P3" s="592"/>
      <c r="Q3" s="592"/>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2:109" ht="43.2" x14ac:dyDescent="0.3">
      <c r="B4" s="2" t="s">
        <v>288</v>
      </c>
      <c r="J4" s="589" t="s">
        <v>378</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379</v>
      </c>
      <c r="CR4" s="590"/>
      <c r="CS4" s="590"/>
      <c r="CT4" s="590"/>
      <c r="CU4" s="590"/>
      <c r="CV4" s="590"/>
      <c r="CW4" s="590"/>
      <c r="CX4" s="591"/>
    </row>
    <row r="5" spans="2:109"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f>Stub</f>
        <v>44377</v>
      </c>
      <c r="CT5" s="335">
        <f>Yr_1</f>
        <v>44742</v>
      </c>
      <c r="CU5" s="335">
        <f>Yr_2</f>
        <v>45107</v>
      </c>
      <c r="CV5" s="335">
        <f>Yr_3</f>
        <v>45473</v>
      </c>
      <c r="CW5" s="335">
        <f>Yr_4</f>
        <v>45838</v>
      </c>
      <c r="CX5" s="335">
        <f>Yr_5</f>
        <v>46203</v>
      </c>
    </row>
    <row r="6" spans="2:109" x14ac:dyDescent="0.3">
      <c r="B6" s="7"/>
      <c r="C6" s="7" t="s">
        <v>573</v>
      </c>
      <c r="D6" s="7" t="s">
        <v>119</v>
      </c>
      <c r="E6" s="7" t="s">
        <v>45</v>
      </c>
      <c r="F6" s="7" t="s">
        <v>55</v>
      </c>
      <c r="G6" s="7" t="s">
        <v>150</v>
      </c>
      <c r="H6" s="7" t="s">
        <v>5</v>
      </c>
      <c r="I6" s="7" t="s">
        <v>209</v>
      </c>
      <c r="J6" s="45"/>
      <c r="K6" s="45"/>
      <c r="L6" s="45"/>
      <c r="M6" s="45">
        <v>390</v>
      </c>
      <c r="N6" s="45">
        <v>390</v>
      </c>
      <c r="O6" s="45">
        <v>390</v>
      </c>
      <c r="P6" s="45">
        <v>390</v>
      </c>
      <c r="Q6" s="45">
        <v>390</v>
      </c>
      <c r="S6" s="47">
        <f>INDEX(Direct_Cost_Splits_Network,MATCH($H6,RIN_Asset_Cat_Network,0),MATCH($S$4,Direct_Cost_Type,0))*J6*HLOOKUP(S$5,Escalators!$I$25:$U$30,3,FALSE)</f>
        <v>0</v>
      </c>
      <c r="T6" s="47">
        <f>INDEX(Direct_Cost_Splits_Network,MATCH($H6,RIN_Asset_Cat_Network,0),MATCH($S$4,Direct_Cost_Type,0))*K6*HLOOKUP(T$5,Escalators!$I$25:$U$30,3,FALSE)</f>
        <v>0</v>
      </c>
      <c r="U6" s="47">
        <f>INDEX(Direct_Cost_Splits_Network,MATCH($H6,RIN_Asset_Cat_Network,0),MATCH($S$4,Direct_Cost_Type,0))*L6*HLOOKUP(U$5,Escalators!$I$25:$U$30,3,FALSE)</f>
        <v>0</v>
      </c>
      <c r="V6" s="47">
        <f>INDEX(Direct_Cost_Splits_Network,MATCH($H6,RIN_Asset_Cat_Network,0),MATCH($S$4,Direct_Cost_Type,0))*M6*HLOOKUP(V$5,Escalators!$I$25:$U$30,3,FALSE)</f>
        <v>40.230060308689424</v>
      </c>
      <c r="W6" s="47">
        <f>INDEX(Direct_Cost_Splits_Network,MATCH($H6,RIN_Asset_Cat_Network,0),MATCH($S$4,Direct_Cost_Type,0))*N6*HLOOKUP(W$5,Escalators!$I$25:$U$30,3,FALSE)</f>
        <v>40.642827254859782</v>
      </c>
      <c r="X6" s="47">
        <f>INDEX(Direct_Cost_Splits_Network,MATCH($H6,RIN_Asset_Cat_Network,0),MATCH($S$4,Direct_Cost_Type,0))*O6*HLOOKUP(X$5,Escalators!$I$25:$U$30,3,FALSE)</f>
        <v>41.080301971280228</v>
      </c>
      <c r="Y6" s="47">
        <f>INDEX(Direct_Cost_Splits_Network,MATCH($H6,RIN_Asset_Cat_Network,0),MATCH($S$4,Direct_Cost_Type,0))*P6*HLOOKUP(Y$5,Escalators!$I$25:$U$30,3,FALSE)</f>
        <v>41.468726876390015</v>
      </c>
      <c r="Z6" s="47">
        <f>INDEX(Direct_Cost_Splits_Network,MATCH($H6,RIN_Asset_Cat_Network,0),MATCH($S$4,Direct_Cost_Type,0))*Q6*HLOOKUP(Z$5,Escalators!$I$25:$U$30,3,FALSE)</f>
        <v>41.833651672902242</v>
      </c>
      <c r="AB6" s="47">
        <f>INDEX(Direct_Cost_Splits_Network,MATCH($H6,RIN_Asset_Cat_Network,0),MATCH($AG$4,Direct_Cost_Type,0))*$J6*INDEX(Act_Type_Repex_Splits,MATCH($I6,Act_Type_Repex,0),MATCH(AB$4,Mat_Type,0))*INDEX(Escalators!$I$44:$Q$49,MATCH(AB$4,Escalators!$C$44:$C$49,0),MATCH(AB$5,Escalators!$I$43:$Q$43,0))</f>
        <v>0</v>
      </c>
      <c r="AC6" s="47">
        <f>INDEX(Direct_Cost_Splits_Network,MATCH($H6,RIN_Asset_Cat_Network,0),MATCH($AG$4,Direct_Cost_Type,0))*$J6*INDEX(Act_Type_Repex_Splits,MATCH($I6,Act_Type_Repex,0),MATCH(AC$4,Mat_Type,0))*INDEX(Escalators!$I$44:$Q$49,MATCH(AC$4,Escalators!$C$44:$C$49,0),MATCH(AC$5,Escalators!$I$43:$Q$43,0))</f>
        <v>0</v>
      </c>
      <c r="AD6" s="47">
        <f>INDEX(Direct_Cost_Splits_Network,MATCH($H6,RIN_Asset_Cat_Network,0),MATCH($AG$4,Direct_Cost_Type,0))*$J6*INDEX(Act_Type_Repex_Splits,MATCH($I6,Act_Type_Repex,0),MATCH(AD$4,Mat_Type,0))*INDEX(Escalators!$I$44:$Q$49,MATCH(AD$4,Escalators!$C$44:$C$49,0),MATCH(AD$5,Escalators!$I$43:$Q$43,0))</f>
        <v>0</v>
      </c>
      <c r="AE6" s="47">
        <f>INDEX(Direct_Cost_Splits_Network,MATCH($H6,RIN_Asset_Cat_Network,0),MATCH($AG$4,Direct_Cost_Type,0))*$J6*INDEX(Act_Type_Repex_Splits,MATCH($I6,Act_Type_Repex,0),MATCH(AE$4,Mat_Type,0))*INDEX(Escalators!$I$44:$Q$49,MATCH(AE$4,Escalators!$C$44:$C$49,0),MATCH(AE$5,Escalators!$I$43:$Q$43,0))</f>
        <v>0</v>
      </c>
      <c r="AF6" s="47">
        <f>INDEX(Direct_Cost_Splits_Network,MATCH($H6,RIN_Asset_Cat_Network,0),MATCH($AG$4,Direct_Cost_Type,0))*$J6*INDEX(Act_Type_Repex_Splits,MATCH($I6,Act_Type_Repex,0),MATCH(AF$4,Mat_Type,0))*INDEX(Escalators!$I$44:$Q$49,MATCH(AF$4,Escalators!$C$44:$C$49,0),MATCH(AF$5,Escalators!$I$43:$Q$43,0))</f>
        <v>0</v>
      </c>
      <c r="AG6" s="47">
        <f>SUM(AB6:AF6)</f>
        <v>0</v>
      </c>
      <c r="AH6" s="47">
        <f>INDEX(Direct_Cost_Splits_Network,MATCH($H6,RIN_Asset_Cat_Network,0),MATCH($AY$4,Direct_Cost_Type,0))*$K6*INDEX(Act_Type_Repex_Splits,MATCH($I6,Act_Type_Repex,0),MATCH(AH$4,Mat_Type,0))*INDEX(Escalators!$I$44:$U$49,MATCH(AH$4,Escalators!$C$44:$C$49,0),MATCH(AH$5,Escalators!$I$43:$U$43,0))</f>
        <v>0</v>
      </c>
      <c r="AI6" s="47">
        <f>INDEX(Direct_Cost_Splits_Network,MATCH($H6,RIN_Asset_Cat_Network,0),MATCH($AY$4,Direct_Cost_Type,0))*$K6*INDEX(Act_Type_Repex_Splits,MATCH($I6,Act_Type_Repex,0),MATCH(AI$4,Mat_Type,0))*INDEX(Escalators!$I$44:$U$49,MATCH(AI$4,Escalators!$C$44:$C$49,0),MATCH(AI$5,Escalators!$I$43:$U$43,0))</f>
        <v>0</v>
      </c>
      <c r="AJ6" s="47">
        <f>INDEX(Direct_Cost_Splits_Network,MATCH($H6,RIN_Asset_Cat_Network,0),MATCH($AY$4,Direct_Cost_Type,0))*$K6*INDEX(Act_Type_Repex_Splits,MATCH($I6,Act_Type_Repex,0),MATCH(AJ$4,Mat_Type,0))*INDEX(Escalators!$I$44:$U$49,MATCH(AJ$4,Escalators!$C$44:$C$49,0),MATCH(AJ$5,Escalators!$I$43:$U$43,0))</f>
        <v>0</v>
      </c>
      <c r="AK6" s="47">
        <f>INDEX(Direct_Cost_Splits_Network,MATCH($H6,RIN_Asset_Cat_Network,0),MATCH($AY$4,Direct_Cost_Type,0))*$K6*INDEX(Act_Type_Repex_Splits,MATCH($I6,Act_Type_Repex,0),MATCH(AK$4,Mat_Type,0))*INDEX(Escalators!$I$44:$U$49,MATCH(AK$4,Escalators!$C$44:$C$49,0),MATCH(AK$5,Escalators!$I$43:$U$43,0))</f>
        <v>0</v>
      </c>
      <c r="AL6" s="47">
        <f>INDEX(Direct_Cost_Splits_Network,MATCH($H6,RIN_Asset_Cat_Network,0),MATCH($AY$4,Direct_Cost_Type,0))*$K6*INDEX(Act_Type_Repex_Splits,MATCH($I6,Act_Type_Repex,0),MATCH(AL$4,Mat_Type,0))*INDEX(Escalators!$I$44:$U$49,MATCH(AL$4,Escalators!$C$44:$C$49,0),MATCH(AL$5,Escalators!$I$43:$U$43,0))</f>
        <v>0</v>
      </c>
      <c r="AM6" s="47">
        <f>SUM(AH6:AL6)</f>
        <v>0</v>
      </c>
      <c r="AN6" s="47">
        <f>INDEX(Direct_Cost_Splits_Network,MATCH($H6,RIN_Asset_Cat_Network,0),MATCH($AY$4,Direct_Cost_Type,0))*$L6*INDEX(Act_Type_Repex_Splits,MATCH($I6,Act_Type_Repex,0),MATCH(AN$4,Mat_Type,0))*INDEX(Escalators!$I$44:$U$49,MATCH(AN$4,Escalators!$C$44:$C$49,0),MATCH(AN$5,Escalators!$I$43:$U$43,0))</f>
        <v>0</v>
      </c>
      <c r="AO6" s="47">
        <f>INDEX(Direct_Cost_Splits_Network,MATCH($H6,RIN_Asset_Cat_Network,0),MATCH($AY$4,Direct_Cost_Type,0))*$L6*INDEX(Act_Type_Repex_Splits,MATCH($I6,Act_Type_Repex,0),MATCH(AO$4,Mat_Type,0))*INDEX(Escalators!$I$44:$U$49,MATCH(AO$4,Escalators!$C$44:$C$49,0),MATCH(AO$5,Escalators!$I$43:$U$43,0))</f>
        <v>0</v>
      </c>
      <c r="AP6" s="47">
        <f>INDEX(Direct_Cost_Splits_Network,MATCH($H6,RIN_Asset_Cat_Network,0),MATCH($AY$4,Direct_Cost_Type,0))*$L6*INDEX(Act_Type_Repex_Splits,MATCH($I6,Act_Type_Repex,0),MATCH(AP$4,Mat_Type,0))*INDEX(Escalators!$I$44:$U$49,MATCH(AP$4,Escalators!$C$44:$C$49,0),MATCH(AP$5,Escalators!$I$43:$U$43,0))</f>
        <v>0</v>
      </c>
      <c r="AQ6" s="47">
        <f>INDEX(Direct_Cost_Splits_Network,MATCH($H6,RIN_Asset_Cat_Network,0),MATCH($AY$4,Direct_Cost_Type,0))*$L6*INDEX(Act_Type_Repex_Splits,MATCH($I6,Act_Type_Repex,0),MATCH(AQ$4,Mat_Type,0))*INDEX(Escalators!$I$44:$U$49,MATCH(AQ$4,Escalators!$C$44:$C$49,0),MATCH(AQ$5,Escalators!$I$43:$U$43,0))</f>
        <v>0</v>
      </c>
      <c r="AR6" s="47">
        <f>INDEX(Direct_Cost_Splits_Network,MATCH($H6,RIN_Asset_Cat_Network,0),MATCH($AY$4,Direct_Cost_Type,0))*$L6*INDEX(Act_Type_Repex_Splits,MATCH($I6,Act_Type_Repex,0),MATCH(AR$4,Mat_Type,0))*INDEX(Escalators!$I$44:$U$49,MATCH(AR$4,Escalators!$C$44:$C$49,0),MATCH(AR$5,Escalators!$I$43:$U$43,0))</f>
        <v>0</v>
      </c>
      <c r="AS6" s="47">
        <f>SUM(AN6:AR6)</f>
        <v>0</v>
      </c>
      <c r="AT6" s="47">
        <f>INDEX(Direct_Cost_Splits_Network,MATCH($H6,RIN_Asset_Cat_Network,0),MATCH($AY$4,Direct_Cost_Type,0))*$M6*INDEX(Act_Type_Repex_Splits,MATCH($I6,Act_Type_Repex,0),MATCH(AT$4,Mat_Type,0))*INDEX(Escalators!$I$44:$U$49,MATCH(AT$4,Escalators!$C$44:$C$49,0),MATCH(AT$5,Escalators!$I$43:$U$43,0))</f>
        <v>0</v>
      </c>
      <c r="AU6" s="47">
        <f>INDEX(Direct_Cost_Splits_Network,MATCH($H6,RIN_Asset_Cat_Network,0),MATCH($AY$4,Direct_Cost_Type,0))*$M6*INDEX(Act_Type_Repex_Splits,MATCH($I6,Act_Type_Repex,0),MATCH(AU$4,Mat_Type,0))*INDEX(Escalators!$I$44:$U$49,MATCH(AU$4,Escalators!$C$44:$C$49,0),MATCH(AU$5,Escalators!$I$43:$U$43,0))</f>
        <v>0</v>
      </c>
      <c r="AV6" s="47">
        <f>INDEX(Direct_Cost_Splits_Network,MATCH($H6,RIN_Asset_Cat_Network,0),MATCH($AY$4,Direct_Cost_Type,0))*$M6*INDEX(Act_Type_Repex_Splits,MATCH($I6,Act_Type_Repex,0),MATCH(AV$4,Mat_Type,0))*INDEX(Escalators!$I$44:$U$49,MATCH(AV$4,Escalators!$C$44:$C$49,0),MATCH(AV$5,Escalators!$I$43:$U$43,0))</f>
        <v>25.728197232600547</v>
      </c>
      <c r="AW6" s="47">
        <f>INDEX(Direct_Cost_Splits_Network,MATCH($H6,RIN_Asset_Cat_Network,0),MATCH($AY$4,Direct_Cost_Type,0))*$M6*INDEX(Act_Type_Repex_Splits,MATCH($I6,Act_Type_Repex,0),MATCH(AW$4,Mat_Type,0))*INDEX(Escalators!$I$44:$U$49,MATCH(AW$4,Escalators!$C$44:$C$49,0),MATCH(AW$5,Escalators!$I$43:$U$43,0))</f>
        <v>0</v>
      </c>
      <c r="AX6" s="47">
        <f>INDEX(Direct_Cost_Splits_Network,MATCH($H6,RIN_Asset_Cat_Network,0),MATCH($AY$4,Direct_Cost_Type,0))*$M6*INDEX(Act_Type_Repex_Splits,MATCH($I6,Act_Type_Repex,0),MATCH(AX$4,Mat_Type,0))*INDEX(Escalators!$I$44:$U$49,MATCH(AX$4,Escalators!$C$44:$C$49,0),MATCH(AX$5,Escalators!$I$43:$U$43,0))</f>
        <v>60.032460209401279</v>
      </c>
      <c r="AY6" s="47">
        <f>SUM(AT6:AX6)</f>
        <v>85.760657442001829</v>
      </c>
      <c r="AZ6" s="47">
        <f>INDEX(Direct_Cost_Splits_Network,MATCH($H6,RIN_Asset_Cat_Network,0),MATCH($BE$4,Direct_Cost_Type,0))*$N6*INDEX(Act_Type_Repex_Splits,MATCH($I6,Act_Type_Repex,0),MATCH(AZ$4,Mat_Type,0))*INDEX(Escalators!$I$44:$U$49,MATCH(AZ$4,Escalators!$C$44:$C$49,0),MATCH(AZ$5,Escalators!$I$43:$U$43,0))</f>
        <v>0</v>
      </c>
      <c r="BA6" s="47">
        <f>INDEX(Direct_Cost_Splits_Network,MATCH($H6,RIN_Asset_Cat_Network,0),MATCH($BE$4,Direct_Cost_Type,0))*$N6*INDEX(Act_Type_Repex_Splits,MATCH($I6,Act_Type_Repex,0),MATCH(BA$4,Mat_Type,0))*INDEX(Escalators!$I$44:$U$49,MATCH(BA$4,Escalators!$C$44:$C$49,0),MATCH(BA$5,Escalators!$I$43:$U$43,0))</f>
        <v>0</v>
      </c>
      <c r="BB6" s="47">
        <f>INDEX(Direct_Cost_Splits_Network,MATCH($H6,RIN_Asset_Cat_Network,0),MATCH($BE$4,Direct_Cost_Type,0))*$N6*INDEX(Act_Type_Repex_Splits,MATCH($I6,Act_Type_Repex,0),MATCH(BB$4,Mat_Type,0))*INDEX(Escalators!$I$44:$U$49,MATCH(BB$4,Escalators!$C$44:$C$49,0),MATCH(BB$5,Escalators!$I$43:$U$43,0))</f>
        <v>25.728197232600547</v>
      </c>
      <c r="BC6" s="47">
        <f>INDEX(Direct_Cost_Splits_Network,MATCH($H6,RIN_Asset_Cat_Network,0),MATCH($BE$4,Direct_Cost_Type,0))*$N6*INDEX(Act_Type_Repex_Splits,MATCH($I6,Act_Type_Repex,0),MATCH(BC$4,Mat_Type,0))*INDEX(Escalators!$I$44:$U$49,MATCH(BC$4,Escalators!$C$44:$C$49,0),MATCH(BC$5,Escalators!$I$43:$U$43,0))</f>
        <v>0</v>
      </c>
      <c r="BD6" s="47">
        <f>INDEX(Direct_Cost_Splits_Network,MATCH($H6,RIN_Asset_Cat_Network,0),MATCH($BE$4,Direct_Cost_Type,0))*$N6*INDEX(Act_Type_Repex_Splits,MATCH($I6,Act_Type_Repex,0),MATCH(BD$4,Mat_Type,0))*INDEX(Escalators!$I$44:$U$49,MATCH(BD$4,Escalators!$C$44:$C$49,0),MATCH(BD$5,Escalators!$I$43:$U$43,0))</f>
        <v>60.032460209401279</v>
      </c>
      <c r="BE6" s="47">
        <f>SUM(AZ6:BD6)</f>
        <v>85.760657442001829</v>
      </c>
      <c r="BF6" s="47">
        <f>INDEX(Direct_Cost_Splits_Network,MATCH($H6,RIN_Asset_Cat_Network,0),MATCH($BK$4,Direct_Cost_Type,0))*$O6*INDEX(Act_Type_Repex_Splits,MATCH($I6,Act_Type_Repex,0),MATCH(BF$4,Mat_Type,0))*INDEX(Escalators!$I$44:$U$49,MATCH(BF$4,Escalators!$C$44:$C$49,0),MATCH(BF$5,Escalators!$I$43:$U$43,0))</f>
        <v>0</v>
      </c>
      <c r="BG6" s="47">
        <f>INDEX(Direct_Cost_Splits_Network,MATCH($H6,RIN_Asset_Cat_Network,0),MATCH($BK$4,Direct_Cost_Type,0))*$O6*INDEX(Act_Type_Repex_Splits,MATCH($I6,Act_Type_Repex,0),MATCH(BG$4,Mat_Type,0))*INDEX(Escalators!$I$44:$U$49,MATCH(BG$4,Escalators!$C$44:$C$49,0),MATCH(BG$5,Escalators!$I$43:$U$43,0))</f>
        <v>0</v>
      </c>
      <c r="BH6" s="47">
        <f>INDEX(Direct_Cost_Splits_Network,MATCH($H6,RIN_Asset_Cat_Network,0),MATCH($BK$4,Direct_Cost_Type,0))*$O6*INDEX(Act_Type_Repex_Splits,MATCH($I6,Act_Type_Repex,0),MATCH(BH$4,Mat_Type,0))*INDEX(Escalators!$I$44:$U$49,MATCH(BH$4,Escalators!$C$44:$C$49,0),MATCH(BH$5,Escalators!$I$43:$U$43,0))</f>
        <v>25.728197232600547</v>
      </c>
      <c r="BI6" s="47">
        <f>INDEX(Direct_Cost_Splits_Network,MATCH($H6,RIN_Asset_Cat_Network,0),MATCH($BK$4,Direct_Cost_Type,0))*$O6*INDEX(Act_Type_Repex_Splits,MATCH($I6,Act_Type_Repex,0),MATCH(BI$4,Mat_Type,0))*INDEX(Escalators!$I$44:$U$49,MATCH(BI$4,Escalators!$C$44:$C$49,0),MATCH(BI$5,Escalators!$I$43:$U$43,0))</f>
        <v>0</v>
      </c>
      <c r="BJ6" s="47">
        <f>INDEX(Direct_Cost_Splits_Network,MATCH($H6,RIN_Asset_Cat_Network,0),MATCH($BK$4,Direct_Cost_Type,0))*$O6*INDEX(Act_Type_Repex_Splits,MATCH($I6,Act_Type_Repex,0),MATCH(BJ$4,Mat_Type,0))*INDEX(Escalators!$I$44:$U$49,MATCH(BJ$4,Escalators!$C$44:$C$49,0),MATCH(BJ$5,Escalators!$I$43:$U$43,0))</f>
        <v>60.032460209401279</v>
      </c>
      <c r="BK6" s="47">
        <f>SUM(BF6:BJ6)</f>
        <v>85.760657442001829</v>
      </c>
      <c r="BL6" s="47">
        <f>INDEX(Direct_Cost_Splits_Network,MATCH($H6,RIN_Asset_Cat_Network,0),MATCH($BQ$4,Direct_Cost_Type,0))*$P6*INDEX(Act_Type_Repex_Splits,MATCH($I6,Act_Type_Repex,0),MATCH(BL$4,Mat_Type,0))*INDEX(Escalators!$I$44:$U$49,MATCH(BL$4,Escalators!$C$44:$C$49,0),MATCH(BL$5,Escalators!$I$43:$U$43,0))</f>
        <v>0</v>
      </c>
      <c r="BM6" s="47">
        <f>INDEX(Direct_Cost_Splits_Network,MATCH($H6,RIN_Asset_Cat_Network,0),MATCH($BQ$4,Direct_Cost_Type,0))*$P6*INDEX(Act_Type_Repex_Splits,MATCH($I6,Act_Type_Repex,0),MATCH(BM$4,Mat_Type,0))*INDEX(Escalators!$I$44:$U$49,MATCH(BM$4,Escalators!$C$44:$C$49,0),MATCH(BM$5,Escalators!$I$43:$U$43,0))</f>
        <v>0</v>
      </c>
      <c r="BN6" s="47">
        <f>INDEX(Direct_Cost_Splits_Network,MATCH($H6,RIN_Asset_Cat_Network,0),MATCH($BQ$4,Direct_Cost_Type,0))*$P6*INDEX(Act_Type_Repex_Splits,MATCH($I6,Act_Type_Repex,0),MATCH(BN$4,Mat_Type,0))*INDEX(Escalators!$I$44:$U$49,MATCH(BN$4,Escalators!$C$44:$C$49,0),MATCH(BN$5,Escalators!$I$43:$U$43,0))</f>
        <v>25.728197232600547</v>
      </c>
      <c r="BO6" s="47">
        <f>INDEX(Direct_Cost_Splits_Network,MATCH($H6,RIN_Asset_Cat_Network,0),MATCH($BQ$4,Direct_Cost_Type,0))*$P6*INDEX(Act_Type_Repex_Splits,MATCH($I6,Act_Type_Repex,0),MATCH(BO$4,Mat_Type,0))*INDEX(Escalators!$I$44:$U$49,MATCH(BO$4,Escalators!$C$44:$C$49,0),MATCH(BO$5,Escalators!$I$43:$U$43,0))</f>
        <v>0</v>
      </c>
      <c r="BP6" s="47">
        <f>INDEX(Direct_Cost_Splits_Network,MATCH($H6,RIN_Asset_Cat_Network,0),MATCH($BQ$4,Direct_Cost_Type,0))*$P6*INDEX(Act_Type_Repex_Splits,MATCH($I6,Act_Type_Repex,0),MATCH(BP$4,Mat_Type,0))*INDEX(Escalators!$I$44:$U$49,MATCH(BP$4,Escalators!$C$44:$C$49,0),MATCH(BP$5,Escalators!$I$43:$U$43,0))</f>
        <v>60.032460209401279</v>
      </c>
      <c r="BQ6" s="47">
        <f>SUM(BL6:BP6)</f>
        <v>85.760657442001829</v>
      </c>
      <c r="BR6" s="47">
        <f>INDEX(Direct_Cost_Splits_Network,MATCH($H6,RIN_Asset_Cat_Network,0),MATCH($BW$4,Direct_Cost_Type,0))*$Q6*INDEX(Act_Type_Repex_Splits,MATCH($I6,Act_Type_Repex,0),MATCH(BR$4,Mat_Type,0))*INDEX(Escalators!$I$44:$U$49,MATCH(BR$4,Escalators!$C$44:$C$49,0),MATCH(BR$5,Escalators!$I$43:$U$43,0))</f>
        <v>0</v>
      </c>
      <c r="BS6" s="47">
        <f>INDEX(Direct_Cost_Splits_Network,MATCH($H6,RIN_Asset_Cat_Network,0),MATCH($BW$4,Direct_Cost_Type,0))*$Q6*INDEX(Act_Type_Repex_Splits,MATCH($I6,Act_Type_Repex,0),MATCH(BS$4,Mat_Type,0))*INDEX(Escalators!$I$44:$U$49,MATCH(BS$4,Escalators!$C$44:$C$49,0),MATCH(BS$5,Escalators!$I$43:$U$43,0))</f>
        <v>0</v>
      </c>
      <c r="BT6" s="47">
        <f>INDEX(Direct_Cost_Splits_Network,MATCH($H6,RIN_Asset_Cat_Network,0),MATCH($BW$4,Direct_Cost_Type,0))*$Q6*INDEX(Act_Type_Repex_Splits,MATCH($I6,Act_Type_Repex,0),MATCH(BT$4,Mat_Type,0))*INDEX(Escalators!$I$44:$U$49,MATCH(BT$4,Escalators!$C$44:$C$49,0),MATCH(BT$5,Escalators!$I$43:$U$43,0))</f>
        <v>25.728197232600547</v>
      </c>
      <c r="BU6" s="47">
        <f>INDEX(Direct_Cost_Splits_Network,MATCH($H6,RIN_Asset_Cat_Network,0),MATCH($BW$4,Direct_Cost_Type,0))*$Q6*INDEX(Act_Type_Repex_Splits,MATCH($I6,Act_Type_Repex,0),MATCH(BU$4,Mat_Type,0))*INDEX(Escalators!$I$44:$U$49,MATCH(BU$4,Escalators!$C$44:$C$49,0),MATCH(BU$5,Escalators!$I$43:$U$43,0))</f>
        <v>0</v>
      </c>
      <c r="BV6" s="47">
        <f>INDEX(Direct_Cost_Splits_Network,MATCH($H6,RIN_Asset_Cat_Network,0),MATCH($BW$4,Direct_Cost_Type,0))*$Q6*INDEX(Act_Type_Repex_Splits,MATCH($I6,Act_Type_Repex,0),MATCH(BV$4,Mat_Type,0))*INDEX(Escalators!$I$44:$U$49,MATCH(BV$4,Escalators!$C$44:$C$49,0),MATCH(BV$5,Escalators!$I$43:$U$43,0))</f>
        <v>60.032460209401279</v>
      </c>
      <c r="BW6" s="47">
        <f>SUM(BR6:BV6)</f>
        <v>85.760657442001829</v>
      </c>
      <c r="BY6" s="47">
        <f>INDEX(Direct_Cost_Splits_Network,MATCH($H6,RIN_Asset_Cat_Network,0),MATCH($BY$4,Direct_Cost_Type,0))*J6*HLOOKUP(BY$5,Escalators!$I$25:$U$30,6,FALSE)</f>
        <v>0</v>
      </c>
      <c r="BZ6" s="47">
        <f>INDEX(Direct_Cost_Splits_Network,MATCH($H6,RIN_Asset_Cat_Network,0),MATCH($BY$4,Direct_Cost_Type,0))*K6*HLOOKUP(BZ$5,Escalators!$I$25:$U$30,6,FALSE)</f>
        <v>0</v>
      </c>
      <c r="CA6" s="47">
        <f>INDEX(Direct_Cost_Splits_Network,MATCH($H6,RIN_Asset_Cat_Network,0),MATCH($BY$4,Direct_Cost_Type,0))*L6*HLOOKUP(CA$5,Escalators!$I$25:$U$30,6,FALSE)</f>
        <v>0</v>
      </c>
      <c r="CB6" s="47">
        <f>INDEX(Direct_Cost_Splits_Network,MATCH($H6,RIN_Asset_Cat_Network,0),MATCH($BY$4,Direct_Cost_Type,0))*M6*HLOOKUP(CB$5,Escalators!$I$25:$U$30,6,FALSE)</f>
        <v>237.32639823805201</v>
      </c>
      <c r="CC6" s="47">
        <f>INDEX(Direct_Cost_Splits_Network,MATCH($H6,RIN_Asset_Cat_Network,0),MATCH($BY$4,Direct_Cost_Type,0))*N6*HLOOKUP(CC$5,Escalators!$I$25:$U$30,6,FALSE)</f>
        <v>239.76140559063037</v>
      </c>
      <c r="CD6" s="47">
        <f>INDEX(Direct_Cost_Splits_Network,MATCH($H6,RIN_Asset_Cat_Network,0),MATCH($BY$4,Direct_Cost_Type,0))*O6*HLOOKUP(CD$5,Escalators!$I$25:$U$30,6,FALSE)</f>
        <v>242.34216977471618</v>
      </c>
      <c r="CE6" s="47">
        <f>INDEX(Direct_Cost_Splits_Network,MATCH($H6,RIN_Asset_Cat_Network,0),MATCH($BY$4,Direct_Cost_Type,0))*P6*HLOOKUP(CE$5,Escalators!$I$25:$U$30,6,FALSE)</f>
        <v>244.63357781657169</v>
      </c>
      <c r="CF6" s="47">
        <f>INDEX(Direct_Cost_Splits_Network,MATCH($H6,RIN_Asset_Cat_Network,0),MATCH($BY$4,Direct_Cost_Type,0))*Q6*HLOOKUP(CF$5,Escalators!$I$25:$U$30,6,FALSE)</f>
        <v>246.78635330135751</v>
      </c>
      <c r="CH6" s="83">
        <f t="shared" ref="CH6:CO9" si="8">INDEX(Direct_Cost_Splits_Network,MATCH($H6,RIN_Asset_Cat_Network,0),MATCH($CH$4,Direct_Cost_Type,0))*J6</f>
        <v>0</v>
      </c>
      <c r="CI6" s="83">
        <f t="shared" si="8"/>
        <v>0</v>
      </c>
      <c r="CJ6" s="83">
        <f t="shared" si="8"/>
        <v>0</v>
      </c>
      <c r="CK6" s="83">
        <f t="shared" si="8"/>
        <v>35.553629220550455</v>
      </c>
      <c r="CL6" s="83">
        <f t="shared" si="8"/>
        <v>35.553629220550455</v>
      </c>
      <c r="CM6" s="83">
        <f t="shared" si="8"/>
        <v>35.553629220550455</v>
      </c>
      <c r="CN6" s="83">
        <f t="shared" si="8"/>
        <v>35.553629220550455</v>
      </c>
      <c r="CO6" s="83">
        <f t="shared" si="8"/>
        <v>35.553629220550455</v>
      </c>
      <c r="CQ6" s="47">
        <f t="shared" ref="CQ6:CQ11" si="9">S6+AG6+BY6+CH6</f>
        <v>0</v>
      </c>
      <c r="CR6" s="47">
        <f t="shared" ref="CR6:CR11" si="10">T6+AM6+BZ6+CI6</f>
        <v>0</v>
      </c>
      <c r="CS6" s="47">
        <f t="shared" ref="CS6:CS11" si="11">U6+AS6+CA6+CJ6</f>
        <v>0</v>
      </c>
      <c r="CT6" s="47">
        <f t="shared" ref="CT6:CT11" si="12">V6+AY6+CB6+CK6</f>
        <v>398.87074520929372</v>
      </c>
      <c r="CU6" s="47">
        <f t="shared" ref="CU6:CU11" si="13">W6+BE6+CC6+CL6</f>
        <v>401.71851950804245</v>
      </c>
      <c r="CV6" s="47">
        <f t="shared" ref="CV6:CV11" si="14">X6+BK6+CD6+CM6</f>
        <v>404.73675840854872</v>
      </c>
      <c r="CW6" s="47">
        <f t="shared" ref="CW6:CW11" si="15">Y6+BQ6+CE6+CN6</f>
        <v>407.41659135551402</v>
      </c>
      <c r="CX6" s="47">
        <f t="shared" ref="CX6:CX11" si="16">Z6+BW6+CF6+CO6</f>
        <v>409.93429163681202</v>
      </c>
      <c r="CZ6" s="39"/>
      <c r="DA6" s="39"/>
      <c r="DB6" s="39"/>
      <c r="DC6" s="39"/>
      <c r="DD6" s="39"/>
      <c r="DE6" s="39"/>
    </row>
    <row r="7" spans="2:109" x14ac:dyDescent="0.3">
      <c r="B7" s="7"/>
      <c r="C7" s="7" t="s">
        <v>587</v>
      </c>
      <c r="D7" s="7" t="s">
        <v>119</v>
      </c>
      <c r="E7" s="7" t="s">
        <v>45</v>
      </c>
      <c r="F7" s="7" t="s">
        <v>55</v>
      </c>
      <c r="G7" s="7" t="s">
        <v>150</v>
      </c>
      <c r="H7" s="7" t="s">
        <v>5</v>
      </c>
      <c r="I7" s="7" t="s">
        <v>209</v>
      </c>
      <c r="J7" s="45"/>
      <c r="K7" s="45"/>
      <c r="L7" s="45"/>
      <c r="M7" s="45">
        <v>50</v>
      </c>
      <c r="N7" s="45">
        <v>50</v>
      </c>
      <c r="O7" s="45">
        <v>50</v>
      </c>
      <c r="P7" s="45">
        <v>50</v>
      </c>
      <c r="Q7" s="45">
        <v>50</v>
      </c>
      <c r="S7" s="47">
        <f>INDEX(Direct_Cost_Splits_Network,MATCH($H7,RIN_Asset_Cat_Network,0),MATCH($S$4,Direct_Cost_Type,0))*J7*HLOOKUP(S$5,Escalators!$I$25:$U$30,3,FALSE)</f>
        <v>0</v>
      </c>
      <c r="T7" s="47">
        <f>INDEX(Direct_Cost_Splits_Network,MATCH($H7,RIN_Asset_Cat_Network,0),MATCH($S$4,Direct_Cost_Type,0))*K7*HLOOKUP(T$5,Escalators!$I$25:$U$30,3,FALSE)</f>
        <v>0</v>
      </c>
      <c r="U7" s="47">
        <f>INDEX(Direct_Cost_Splits_Network,MATCH($H7,RIN_Asset_Cat_Network,0),MATCH($S$4,Direct_Cost_Type,0))*L7*HLOOKUP(U$5,Escalators!$I$25:$U$30,3,FALSE)</f>
        <v>0</v>
      </c>
      <c r="V7" s="47">
        <f>INDEX(Direct_Cost_Splits_Network,MATCH($H7,RIN_Asset_Cat_Network,0),MATCH($S$4,Direct_Cost_Type,0))*M7*HLOOKUP(V$5,Escalators!$I$25:$U$30,3,FALSE)</f>
        <v>5.1577000395755679</v>
      </c>
      <c r="W7" s="47">
        <f>INDEX(Direct_Cost_Splits_Network,MATCH($H7,RIN_Asset_Cat_Network,0),MATCH($S$4,Direct_Cost_Type,0))*N7*HLOOKUP(W$5,Escalators!$I$25:$U$30,3,FALSE)</f>
        <v>5.2106188788281766</v>
      </c>
      <c r="X7" s="47">
        <f>INDEX(Direct_Cost_Splits_Network,MATCH($H7,RIN_Asset_Cat_Network,0),MATCH($S$4,Direct_Cost_Type,0))*O7*HLOOKUP(X$5,Escalators!$I$25:$U$30,3,FALSE)</f>
        <v>5.266705380933363</v>
      </c>
      <c r="Y7" s="47">
        <f>INDEX(Direct_Cost_Splits_Network,MATCH($H7,RIN_Asset_Cat_Network,0),MATCH($S$4,Direct_Cost_Type,0))*P7*HLOOKUP(Y$5,Escalators!$I$25:$U$30,3,FALSE)</f>
        <v>5.3165034456910272</v>
      </c>
      <c r="Z7" s="47">
        <f>INDEX(Direct_Cost_Splits_Network,MATCH($H7,RIN_Asset_Cat_Network,0),MATCH($S$4,Direct_Cost_Type,0))*Q7*HLOOKUP(Z$5,Escalators!$I$25:$U$30,3,FALSE)</f>
        <v>5.3632886760131084</v>
      </c>
      <c r="AB7" s="47">
        <f>INDEX(Direct_Cost_Splits_Network,MATCH($H7,RIN_Asset_Cat_Network,0),MATCH($AG$4,Direct_Cost_Type,0))*$J7*INDEX(Act_Type_Repex_Splits,MATCH($I7,Act_Type_Repex,0),MATCH(AB$4,Mat_Type,0))*INDEX(Escalators!$I$44:$Q$49,MATCH(AB$4,Escalators!$C$44:$C$49,0),MATCH(AB$5,Escalators!$I$43:$Q$43,0))</f>
        <v>0</v>
      </c>
      <c r="AC7" s="47">
        <f>INDEX(Direct_Cost_Splits_Network,MATCH($H7,RIN_Asset_Cat_Network,0),MATCH($AG$4,Direct_Cost_Type,0))*$J7*INDEX(Act_Type_Repex_Splits,MATCH($I7,Act_Type_Repex,0),MATCH(AC$4,Mat_Type,0))*INDEX(Escalators!$I$44:$Q$49,MATCH(AC$4,Escalators!$C$44:$C$49,0),MATCH(AC$5,Escalators!$I$43:$Q$43,0))</f>
        <v>0</v>
      </c>
      <c r="AD7" s="47">
        <f>INDEX(Direct_Cost_Splits_Network,MATCH($H7,RIN_Asset_Cat_Network,0),MATCH($AG$4,Direct_Cost_Type,0))*$J7*INDEX(Act_Type_Repex_Splits,MATCH($I7,Act_Type_Repex,0),MATCH(AD$4,Mat_Type,0))*INDEX(Escalators!$I$44:$Q$49,MATCH(AD$4,Escalators!$C$44:$C$49,0),MATCH(AD$5,Escalators!$I$43:$Q$43,0))</f>
        <v>0</v>
      </c>
      <c r="AE7" s="47">
        <f>INDEX(Direct_Cost_Splits_Network,MATCH($H7,RIN_Asset_Cat_Network,0),MATCH($AG$4,Direct_Cost_Type,0))*$J7*INDEX(Act_Type_Repex_Splits,MATCH($I7,Act_Type_Repex,0),MATCH(AE$4,Mat_Type,0))*INDEX(Escalators!$I$44:$Q$49,MATCH(AE$4,Escalators!$C$44:$C$49,0),MATCH(AE$5,Escalators!$I$43:$Q$43,0))</f>
        <v>0</v>
      </c>
      <c r="AF7" s="47">
        <f>INDEX(Direct_Cost_Splits_Network,MATCH($H7,RIN_Asset_Cat_Network,0),MATCH($AG$4,Direct_Cost_Type,0))*$J7*INDEX(Act_Type_Repex_Splits,MATCH($I7,Act_Type_Repex,0),MATCH(AF$4,Mat_Type,0))*INDEX(Escalators!$I$44:$Q$49,MATCH(AF$4,Escalators!$C$44:$C$49,0),MATCH(AF$5,Escalators!$I$43:$Q$43,0))</f>
        <v>0</v>
      </c>
      <c r="AG7" s="47">
        <f t="shared" ref="AG7:AG9" si="17">SUM(AB7:AF7)</f>
        <v>0</v>
      </c>
      <c r="AH7" s="47">
        <f>INDEX(Direct_Cost_Splits_Network,MATCH($H7,RIN_Asset_Cat_Network,0),MATCH($AY$4,Direct_Cost_Type,0))*$K7*INDEX(Act_Type_Repex_Splits,MATCH($I7,Act_Type_Repex,0),MATCH(AH$4,Mat_Type,0))*INDEX(Escalators!$I$44:$U$49,MATCH(AH$4,Escalators!$C$44:$C$49,0),MATCH(AH$5,Escalators!$I$43:$U$43,0))</f>
        <v>0</v>
      </c>
      <c r="AI7" s="47">
        <f>INDEX(Direct_Cost_Splits_Network,MATCH($H7,RIN_Asset_Cat_Network,0),MATCH($AY$4,Direct_Cost_Type,0))*$K7*INDEX(Act_Type_Repex_Splits,MATCH($I7,Act_Type_Repex,0),MATCH(AI$4,Mat_Type,0))*INDEX(Escalators!$I$44:$U$49,MATCH(AI$4,Escalators!$C$44:$C$49,0),MATCH(AI$5,Escalators!$I$43:$U$43,0))</f>
        <v>0</v>
      </c>
      <c r="AJ7" s="47">
        <f>INDEX(Direct_Cost_Splits_Network,MATCH($H7,RIN_Asset_Cat_Network,0),MATCH($AY$4,Direct_Cost_Type,0))*$K7*INDEX(Act_Type_Repex_Splits,MATCH($I7,Act_Type_Repex,0),MATCH(AJ$4,Mat_Type,0))*INDEX(Escalators!$I$44:$U$49,MATCH(AJ$4,Escalators!$C$44:$C$49,0),MATCH(AJ$5,Escalators!$I$43:$U$43,0))</f>
        <v>0</v>
      </c>
      <c r="AK7" s="47">
        <f>INDEX(Direct_Cost_Splits_Network,MATCH($H7,RIN_Asset_Cat_Network,0),MATCH($AY$4,Direct_Cost_Type,0))*$K7*INDEX(Act_Type_Repex_Splits,MATCH($I7,Act_Type_Repex,0),MATCH(AK$4,Mat_Type,0))*INDEX(Escalators!$I$44:$U$49,MATCH(AK$4,Escalators!$C$44:$C$49,0),MATCH(AK$5,Escalators!$I$43:$U$43,0))</f>
        <v>0</v>
      </c>
      <c r="AL7" s="47">
        <f>INDEX(Direct_Cost_Splits_Network,MATCH($H7,RIN_Asset_Cat_Network,0),MATCH($AY$4,Direct_Cost_Type,0))*$K7*INDEX(Act_Type_Repex_Splits,MATCH($I7,Act_Type_Repex,0),MATCH(AL$4,Mat_Type,0))*INDEX(Escalators!$I$44:$U$49,MATCH(AL$4,Escalators!$C$44:$C$49,0),MATCH(AL$5,Escalators!$I$43:$U$43,0))</f>
        <v>0</v>
      </c>
      <c r="AM7" s="47">
        <f t="shared" ref="AM7:AM9" si="18">SUM(AH7:AL7)</f>
        <v>0</v>
      </c>
      <c r="AN7" s="47">
        <f>INDEX(Direct_Cost_Splits_Network,MATCH($H7,RIN_Asset_Cat_Network,0),MATCH($AY$4,Direct_Cost_Type,0))*$L7*INDEX(Act_Type_Repex_Splits,MATCH($I7,Act_Type_Repex,0),MATCH(AN$4,Mat_Type,0))*INDEX(Escalators!$I$44:$U$49,MATCH(AN$4,Escalators!$C$44:$C$49,0),MATCH(AN$5,Escalators!$I$43:$U$43,0))</f>
        <v>0</v>
      </c>
      <c r="AO7" s="47">
        <f>INDEX(Direct_Cost_Splits_Network,MATCH($H7,RIN_Asset_Cat_Network,0),MATCH($AY$4,Direct_Cost_Type,0))*$L7*INDEX(Act_Type_Repex_Splits,MATCH($I7,Act_Type_Repex,0),MATCH(AO$4,Mat_Type,0))*INDEX(Escalators!$I$44:$U$49,MATCH(AO$4,Escalators!$C$44:$C$49,0),MATCH(AO$5,Escalators!$I$43:$U$43,0))</f>
        <v>0</v>
      </c>
      <c r="AP7" s="47">
        <f>INDEX(Direct_Cost_Splits_Network,MATCH($H7,RIN_Asset_Cat_Network,0),MATCH($AY$4,Direct_Cost_Type,0))*$L7*INDEX(Act_Type_Repex_Splits,MATCH($I7,Act_Type_Repex,0),MATCH(AP$4,Mat_Type,0))*INDEX(Escalators!$I$44:$U$49,MATCH(AP$4,Escalators!$C$44:$C$49,0),MATCH(AP$5,Escalators!$I$43:$U$43,0))</f>
        <v>0</v>
      </c>
      <c r="AQ7" s="47">
        <f>INDEX(Direct_Cost_Splits_Network,MATCH($H7,RIN_Asset_Cat_Network,0),MATCH($AY$4,Direct_Cost_Type,0))*$L7*INDEX(Act_Type_Repex_Splits,MATCH($I7,Act_Type_Repex,0),MATCH(AQ$4,Mat_Type,0))*INDEX(Escalators!$I$44:$U$49,MATCH(AQ$4,Escalators!$C$44:$C$49,0),MATCH(AQ$5,Escalators!$I$43:$U$43,0))</f>
        <v>0</v>
      </c>
      <c r="AR7" s="47">
        <f>INDEX(Direct_Cost_Splits_Network,MATCH($H7,RIN_Asset_Cat_Network,0),MATCH($AY$4,Direct_Cost_Type,0))*$L7*INDEX(Act_Type_Repex_Splits,MATCH($I7,Act_Type_Repex,0),MATCH(AR$4,Mat_Type,0))*INDEX(Escalators!$I$44:$U$49,MATCH(AR$4,Escalators!$C$44:$C$49,0),MATCH(AR$5,Escalators!$I$43:$U$43,0))</f>
        <v>0</v>
      </c>
      <c r="AS7" s="47">
        <f t="shared" ref="AS7:AS9" si="19">SUM(AN7:AR7)</f>
        <v>0</v>
      </c>
      <c r="AT7" s="47">
        <f>INDEX(Direct_Cost_Splits_Network,MATCH($H7,RIN_Asset_Cat_Network,0),MATCH($AY$4,Direct_Cost_Type,0))*$M7*INDEX(Act_Type_Repex_Splits,MATCH($I7,Act_Type_Repex,0),MATCH(AT$4,Mat_Type,0))*INDEX(Escalators!$I$44:$U$49,MATCH(AT$4,Escalators!$C$44:$C$49,0),MATCH(AT$5,Escalators!$I$43:$U$43,0))</f>
        <v>0</v>
      </c>
      <c r="AU7" s="47">
        <f>INDEX(Direct_Cost_Splits_Network,MATCH($H7,RIN_Asset_Cat_Network,0),MATCH($AY$4,Direct_Cost_Type,0))*$M7*INDEX(Act_Type_Repex_Splits,MATCH($I7,Act_Type_Repex,0),MATCH(AU$4,Mat_Type,0))*INDEX(Escalators!$I$44:$U$49,MATCH(AU$4,Escalators!$C$44:$C$49,0),MATCH(AU$5,Escalators!$I$43:$U$43,0))</f>
        <v>0</v>
      </c>
      <c r="AV7" s="47">
        <f>INDEX(Direct_Cost_Splits_Network,MATCH($H7,RIN_Asset_Cat_Network,0),MATCH($AY$4,Direct_Cost_Type,0))*$M7*INDEX(Act_Type_Repex_Splits,MATCH($I7,Act_Type_Repex,0),MATCH(AV$4,Mat_Type,0))*INDEX(Escalators!$I$44:$U$49,MATCH(AV$4,Escalators!$C$44:$C$49,0),MATCH(AV$5,Escalators!$I$43:$U$43,0))</f>
        <v>3.2984868246923775</v>
      </c>
      <c r="AW7" s="47">
        <f>INDEX(Direct_Cost_Splits_Network,MATCH($H7,RIN_Asset_Cat_Network,0),MATCH($AY$4,Direct_Cost_Type,0))*$M7*INDEX(Act_Type_Repex_Splits,MATCH($I7,Act_Type_Repex,0),MATCH(AW$4,Mat_Type,0))*INDEX(Escalators!$I$44:$U$49,MATCH(AW$4,Escalators!$C$44:$C$49,0),MATCH(AW$5,Escalators!$I$43:$U$43,0))</f>
        <v>0</v>
      </c>
      <c r="AX7" s="47">
        <f>INDEX(Direct_Cost_Splits_Network,MATCH($H7,RIN_Asset_Cat_Network,0),MATCH($AY$4,Direct_Cost_Type,0))*$M7*INDEX(Act_Type_Repex_Splits,MATCH($I7,Act_Type_Repex,0),MATCH(AX$4,Mat_Type,0))*INDEX(Escalators!$I$44:$U$49,MATCH(AX$4,Escalators!$C$44:$C$49,0),MATCH(AX$5,Escalators!$I$43:$U$43,0))</f>
        <v>7.696469257615548</v>
      </c>
      <c r="AY7" s="47">
        <f t="shared" ref="AY7:AY9" si="20">SUM(AT7:AX7)</f>
        <v>10.994956082307926</v>
      </c>
      <c r="AZ7" s="47">
        <f>INDEX(Direct_Cost_Splits_Network,MATCH($H7,RIN_Asset_Cat_Network,0),MATCH($BE$4,Direct_Cost_Type,0))*$N7*INDEX(Act_Type_Repex_Splits,MATCH($I7,Act_Type_Repex,0),MATCH(AZ$4,Mat_Type,0))*INDEX(Escalators!$I$44:$U$49,MATCH(AZ$4,Escalators!$C$44:$C$49,0),MATCH(AZ$5,Escalators!$I$43:$U$43,0))</f>
        <v>0</v>
      </c>
      <c r="BA7" s="47">
        <f>INDEX(Direct_Cost_Splits_Network,MATCH($H7,RIN_Asset_Cat_Network,0),MATCH($BE$4,Direct_Cost_Type,0))*$N7*INDEX(Act_Type_Repex_Splits,MATCH($I7,Act_Type_Repex,0),MATCH(BA$4,Mat_Type,0))*INDEX(Escalators!$I$44:$U$49,MATCH(BA$4,Escalators!$C$44:$C$49,0),MATCH(BA$5,Escalators!$I$43:$U$43,0))</f>
        <v>0</v>
      </c>
      <c r="BB7" s="47">
        <f>INDEX(Direct_Cost_Splits_Network,MATCH($H7,RIN_Asset_Cat_Network,0),MATCH($BE$4,Direct_Cost_Type,0))*$N7*INDEX(Act_Type_Repex_Splits,MATCH($I7,Act_Type_Repex,0),MATCH(BB$4,Mat_Type,0))*INDEX(Escalators!$I$44:$U$49,MATCH(BB$4,Escalators!$C$44:$C$49,0),MATCH(BB$5,Escalators!$I$43:$U$43,0))</f>
        <v>3.2984868246923775</v>
      </c>
      <c r="BC7" s="47">
        <f>INDEX(Direct_Cost_Splits_Network,MATCH($H7,RIN_Asset_Cat_Network,0),MATCH($BE$4,Direct_Cost_Type,0))*$N7*INDEX(Act_Type_Repex_Splits,MATCH($I7,Act_Type_Repex,0),MATCH(BC$4,Mat_Type,0))*INDEX(Escalators!$I$44:$U$49,MATCH(BC$4,Escalators!$C$44:$C$49,0),MATCH(BC$5,Escalators!$I$43:$U$43,0))</f>
        <v>0</v>
      </c>
      <c r="BD7" s="47">
        <f>INDEX(Direct_Cost_Splits_Network,MATCH($H7,RIN_Asset_Cat_Network,0),MATCH($BE$4,Direct_Cost_Type,0))*$N7*INDEX(Act_Type_Repex_Splits,MATCH($I7,Act_Type_Repex,0),MATCH(BD$4,Mat_Type,0))*INDEX(Escalators!$I$44:$U$49,MATCH(BD$4,Escalators!$C$44:$C$49,0),MATCH(BD$5,Escalators!$I$43:$U$43,0))</f>
        <v>7.696469257615548</v>
      </c>
      <c r="BE7" s="47">
        <f t="shared" ref="BE7:BE9" si="21">SUM(AZ7:BD7)</f>
        <v>10.994956082307926</v>
      </c>
      <c r="BF7" s="47">
        <f>INDEX(Direct_Cost_Splits_Network,MATCH($H7,RIN_Asset_Cat_Network,0),MATCH($BK$4,Direct_Cost_Type,0))*$O7*INDEX(Act_Type_Repex_Splits,MATCH($I7,Act_Type_Repex,0),MATCH(BF$4,Mat_Type,0))*INDEX(Escalators!$I$44:$U$49,MATCH(BF$4,Escalators!$C$44:$C$49,0),MATCH(BF$5,Escalators!$I$43:$U$43,0))</f>
        <v>0</v>
      </c>
      <c r="BG7" s="47">
        <f>INDEX(Direct_Cost_Splits_Network,MATCH($H7,RIN_Asset_Cat_Network,0),MATCH($BK$4,Direct_Cost_Type,0))*$O7*INDEX(Act_Type_Repex_Splits,MATCH($I7,Act_Type_Repex,0),MATCH(BG$4,Mat_Type,0))*INDEX(Escalators!$I$44:$U$49,MATCH(BG$4,Escalators!$C$44:$C$49,0),MATCH(BG$5,Escalators!$I$43:$U$43,0))</f>
        <v>0</v>
      </c>
      <c r="BH7" s="47">
        <f>INDEX(Direct_Cost_Splits_Network,MATCH($H7,RIN_Asset_Cat_Network,0),MATCH($BK$4,Direct_Cost_Type,0))*$O7*INDEX(Act_Type_Repex_Splits,MATCH($I7,Act_Type_Repex,0),MATCH(BH$4,Mat_Type,0))*INDEX(Escalators!$I$44:$U$49,MATCH(BH$4,Escalators!$C$44:$C$49,0),MATCH(BH$5,Escalators!$I$43:$U$43,0))</f>
        <v>3.2984868246923775</v>
      </c>
      <c r="BI7" s="47">
        <f>INDEX(Direct_Cost_Splits_Network,MATCH($H7,RIN_Asset_Cat_Network,0),MATCH($BK$4,Direct_Cost_Type,0))*$O7*INDEX(Act_Type_Repex_Splits,MATCH($I7,Act_Type_Repex,0),MATCH(BI$4,Mat_Type,0))*INDEX(Escalators!$I$44:$U$49,MATCH(BI$4,Escalators!$C$44:$C$49,0),MATCH(BI$5,Escalators!$I$43:$U$43,0))</f>
        <v>0</v>
      </c>
      <c r="BJ7" s="47">
        <f>INDEX(Direct_Cost_Splits_Network,MATCH($H7,RIN_Asset_Cat_Network,0),MATCH($BK$4,Direct_Cost_Type,0))*$O7*INDEX(Act_Type_Repex_Splits,MATCH($I7,Act_Type_Repex,0),MATCH(BJ$4,Mat_Type,0))*INDEX(Escalators!$I$44:$U$49,MATCH(BJ$4,Escalators!$C$44:$C$49,0),MATCH(BJ$5,Escalators!$I$43:$U$43,0))</f>
        <v>7.696469257615548</v>
      </c>
      <c r="BK7" s="47">
        <f t="shared" ref="BK7:BK9" si="22">SUM(BF7:BJ7)</f>
        <v>10.994956082307926</v>
      </c>
      <c r="BL7" s="47">
        <f>INDEX(Direct_Cost_Splits_Network,MATCH($H7,RIN_Asset_Cat_Network,0),MATCH($BQ$4,Direct_Cost_Type,0))*$P7*INDEX(Act_Type_Repex_Splits,MATCH($I7,Act_Type_Repex,0),MATCH(BL$4,Mat_Type,0))*INDEX(Escalators!$I$44:$U$49,MATCH(BL$4,Escalators!$C$44:$C$49,0),MATCH(BL$5,Escalators!$I$43:$U$43,0))</f>
        <v>0</v>
      </c>
      <c r="BM7" s="47">
        <f>INDEX(Direct_Cost_Splits_Network,MATCH($H7,RIN_Asset_Cat_Network,0),MATCH($BQ$4,Direct_Cost_Type,0))*$P7*INDEX(Act_Type_Repex_Splits,MATCH($I7,Act_Type_Repex,0),MATCH(BM$4,Mat_Type,0))*INDEX(Escalators!$I$44:$U$49,MATCH(BM$4,Escalators!$C$44:$C$49,0),MATCH(BM$5,Escalators!$I$43:$U$43,0))</f>
        <v>0</v>
      </c>
      <c r="BN7" s="47">
        <f>INDEX(Direct_Cost_Splits_Network,MATCH($H7,RIN_Asset_Cat_Network,0),MATCH($BQ$4,Direct_Cost_Type,0))*$P7*INDEX(Act_Type_Repex_Splits,MATCH($I7,Act_Type_Repex,0),MATCH(BN$4,Mat_Type,0))*INDEX(Escalators!$I$44:$U$49,MATCH(BN$4,Escalators!$C$44:$C$49,0),MATCH(BN$5,Escalators!$I$43:$U$43,0))</f>
        <v>3.2984868246923775</v>
      </c>
      <c r="BO7" s="47">
        <f>INDEX(Direct_Cost_Splits_Network,MATCH($H7,RIN_Asset_Cat_Network,0),MATCH($BQ$4,Direct_Cost_Type,0))*$P7*INDEX(Act_Type_Repex_Splits,MATCH($I7,Act_Type_Repex,0),MATCH(BO$4,Mat_Type,0))*INDEX(Escalators!$I$44:$U$49,MATCH(BO$4,Escalators!$C$44:$C$49,0),MATCH(BO$5,Escalators!$I$43:$U$43,0))</f>
        <v>0</v>
      </c>
      <c r="BP7" s="47">
        <f>INDEX(Direct_Cost_Splits_Network,MATCH($H7,RIN_Asset_Cat_Network,0),MATCH($BQ$4,Direct_Cost_Type,0))*$P7*INDEX(Act_Type_Repex_Splits,MATCH($I7,Act_Type_Repex,0),MATCH(BP$4,Mat_Type,0))*INDEX(Escalators!$I$44:$U$49,MATCH(BP$4,Escalators!$C$44:$C$49,0),MATCH(BP$5,Escalators!$I$43:$U$43,0))</f>
        <v>7.696469257615548</v>
      </c>
      <c r="BQ7" s="47">
        <f t="shared" ref="BQ7:BQ9" si="23">SUM(BL7:BP7)</f>
        <v>10.994956082307926</v>
      </c>
      <c r="BR7" s="47">
        <f>INDEX(Direct_Cost_Splits_Network,MATCH($H7,RIN_Asset_Cat_Network,0),MATCH($BW$4,Direct_Cost_Type,0))*$Q7*INDEX(Act_Type_Repex_Splits,MATCH($I7,Act_Type_Repex,0),MATCH(BR$4,Mat_Type,0))*INDEX(Escalators!$I$44:$U$49,MATCH(BR$4,Escalators!$C$44:$C$49,0),MATCH(BR$5,Escalators!$I$43:$U$43,0))</f>
        <v>0</v>
      </c>
      <c r="BS7" s="47">
        <f>INDEX(Direct_Cost_Splits_Network,MATCH($H7,RIN_Asset_Cat_Network,0),MATCH($BW$4,Direct_Cost_Type,0))*$Q7*INDEX(Act_Type_Repex_Splits,MATCH($I7,Act_Type_Repex,0),MATCH(BS$4,Mat_Type,0))*INDEX(Escalators!$I$44:$U$49,MATCH(BS$4,Escalators!$C$44:$C$49,0),MATCH(BS$5,Escalators!$I$43:$U$43,0))</f>
        <v>0</v>
      </c>
      <c r="BT7" s="47">
        <f>INDEX(Direct_Cost_Splits_Network,MATCH($H7,RIN_Asset_Cat_Network,0),MATCH($BW$4,Direct_Cost_Type,0))*$Q7*INDEX(Act_Type_Repex_Splits,MATCH($I7,Act_Type_Repex,0),MATCH(BT$4,Mat_Type,0))*INDEX(Escalators!$I$44:$U$49,MATCH(BT$4,Escalators!$C$44:$C$49,0),MATCH(BT$5,Escalators!$I$43:$U$43,0))</f>
        <v>3.2984868246923775</v>
      </c>
      <c r="BU7" s="47">
        <f>INDEX(Direct_Cost_Splits_Network,MATCH($H7,RIN_Asset_Cat_Network,0),MATCH($BW$4,Direct_Cost_Type,0))*$Q7*INDEX(Act_Type_Repex_Splits,MATCH($I7,Act_Type_Repex,0),MATCH(BU$4,Mat_Type,0))*INDEX(Escalators!$I$44:$U$49,MATCH(BU$4,Escalators!$C$44:$C$49,0),MATCH(BU$5,Escalators!$I$43:$U$43,0))</f>
        <v>0</v>
      </c>
      <c r="BV7" s="47">
        <f>INDEX(Direct_Cost_Splits_Network,MATCH($H7,RIN_Asset_Cat_Network,0),MATCH($BW$4,Direct_Cost_Type,0))*$Q7*INDEX(Act_Type_Repex_Splits,MATCH($I7,Act_Type_Repex,0),MATCH(BV$4,Mat_Type,0))*INDEX(Escalators!$I$44:$U$49,MATCH(BV$4,Escalators!$C$44:$C$49,0),MATCH(BV$5,Escalators!$I$43:$U$43,0))</f>
        <v>7.696469257615548</v>
      </c>
      <c r="BW7" s="47">
        <f t="shared" ref="BW7:BW9" si="24">SUM(BR7:BV7)</f>
        <v>10.994956082307926</v>
      </c>
      <c r="BY7" s="47">
        <f>INDEX(Direct_Cost_Splits_Network,MATCH($H7,RIN_Asset_Cat_Network,0),MATCH($BY$4,Direct_Cost_Type,0))*J7*HLOOKUP(BY$5,Escalators!$I$25:$U$30,6,FALSE)</f>
        <v>0</v>
      </c>
      <c r="BZ7" s="47">
        <f>INDEX(Direct_Cost_Splits_Network,MATCH($H7,RIN_Asset_Cat_Network,0),MATCH($BY$4,Direct_Cost_Type,0))*K7*HLOOKUP(BZ$5,Escalators!$I$25:$U$30,6,FALSE)</f>
        <v>0</v>
      </c>
      <c r="CA7" s="47">
        <f>INDEX(Direct_Cost_Splits_Network,MATCH($H7,RIN_Asset_Cat_Network,0),MATCH($BY$4,Direct_Cost_Type,0))*L7*HLOOKUP(CA$5,Escalators!$I$25:$U$30,6,FALSE)</f>
        <v>0</v>
      </c>
      <c r="CB7" s="47">
        <f>INDEX(Direct_Cost_Splits_Network,MATCH($H7,RIN_Asset_Cat_Network,0),MATCH($BY$4,Direct_Cost_Type,0))*M7*HLOOKUP(CB$5,Escalators!$I$25:$U$30,6,FALSE)</f>
        <v>30.426461312570773</v>
      </c>
      <c r="CC7" s="47">
        <f>INDEX(Direct_Cost_Splits_Network,MATCH($H7,RIN_Asset_Cat_Network,0),MATCH($BY$4,Direct_Cost_Type,0))*N7*HLOOKUP(CC$5,Escalators!$I$25:$U$30,6,FALSE)</f>
        <v>30.738641742388509</v>
      </c>
      <c r="CD7" s="47">
        <f>INDEX(Direct_Cost_Splits_Network,MATCH($H7,RIN_Asset_Cat_Network,0),MATCH($BY$4,Direct_Cost_Type,0))*O7*HLOOKUP(CD$5,Escalators!$I$25:$U$30,6,FALSE)</f>
        <v>31.069508945476436</v>
      </c>
      <c r="CE7" s="47">
        <f>INDEX(Direct_Cost_Splits_Network,MATCH($H7,RIN_Asset_Cat_Network,0),MATCH($BY$4,Direct_Cost_Type,0))*P7*HLOOKUP(CE$5,Escalators!$I$25:$U$30,6,FALSE)</f>
        <v>31.363279207252781</v>
      </c>
      <c r="CF7" s="47">
        <f>INDEX(Direct_Cost_Splits_Network,MATCH($H7,RIN_Asset_Cat_Network,0),MATCH($BY$4,Direct_Cost_Type,0))*Q7*HLOOKUP(CF$5,Escalators!$I$25:$U$30,6,FALSE)</f>
        <v>31.639276064276604</v>
      </c>
      <c r="CH7" s="83">
        <f t="shared" si="8"/>
        <v>0</v>
      </c>
      <c r="CI7" s="83">
        <f t="shared" si="8"/>
        <v>0</v>
      </c>
      <c r="CJ7" s="83">
        <f t="shared" si="8"/>
        <v>0</v>
      </c>
      <c r="CK7" s="83">
        <f t="shared" si="8"/>
        <v>4.5581575923782633</v>
      </c>
      <c r="CL7" s="83">
        <f t="shared" si="8"/>
        <v>4.5581575923782633</v>
      </c>
      <c r="CM7" s="83">
        <f t="shared" si="8"/>
        <v>4.5581575923782633</v>
      </c>
      <c r="CN7" s="83">
        <f t="shared" si="8"/>
        <v>4.5581575923782633</v>
      </c>
      <c r="CO7" s="83">
        <f t="shared" si="8"/>
        <v>4.5581575923782633</v>
      </c>
      <c r="CQ7" s="47">
        <f t="shared" si="9"/>
        <v>0</v>
      </c>
      <c r="CR7" s="47">
        <f t="shared" si="10"/>
        <v>0</v>
      </c>
      <c r="CS7" s="47">
        <f t="shared" si="11"/>
        <v>0</v>
      </c>
      <c r="CT7" s="47">
        <f t="shared" si="12"/>
        <v>51.137275026832533</v>
      </c>
      <c r="CU7" s="47">
        <f t="shared" si="13"/>
        <v>51.502374295902875</v>
      </c>
      <c r="CV7" s="47">
        <f t="shared" si="14"/>
        <v>51.88932800109599</v>
      </c>
      <c r="CW7" s="47">
        <f t="shared" si="15"/>
        <v>52.232896327630002</v>
      </c>
      <c r="CX7" s="47">
        <f t="shared" si="16"/>
        <v>52.555678414975901</v>
      </c>
      <c r="CZ7" s="39"/>
      <c r="DA7" s="39"/>
      <c r="DB7" s="39"/>
      <c r="DC7" s="39"/>
      <c r="DD7" s="39"/>
      <c r="DE7" s="39"/>
    </row>
    <row r="8" spans="2:109" x14ac:dyDescent="0.3">
      <c r="B8" s="7"/>
      <c r="C8" s="7" t="s">
        <v>117</v>
      </c>
      <c r="D8" s="7" t="s">
        <v>119</v>
      </c>
      <c r="E8" s="7" t="s">
        <v>45</v>
      </c>
      <c r="F8" s="7" t="s">
        <v>55</v>
      </c>
      <c r="G8" s="7" t="s">
        <v>150</v>
      </c>
      <c r="H8" s="7" t="s">
        <v>5</v>
      </c>
      <c r="I8" s="7" t="s">
        <v>209</v>
      </c>
      <c r="J8" s="45"/>
      <c r="K8" s="45"/>
      <c r="L8" s="45"/>
      <c r="M8" s="45">
        <v>90</v>
      </c>
      <c r="N8" s="45">
        <v>90</v>
      </c>
      <c r="O8" s="45">
        <v>90</v>
      </c>
      <c r="P8" s="45">
        <v>90</v>
      </c>
      <c r="Q8" s="45">
        <v>90</v>
      </c>
      <c r="S8" s="47">
        <f>INDEX(Direct_Cost_Splits_Network,MATCH($H8,RIN_Asset_Cat_Network,0),MATCH($S$4,Direct_Cost_Type,0))*J8*HLOOKUP(S$5,Escalators!$I$25:$U$30,3,FALSE)</f>
        <v>0</v>
      </c>
      <c r="T8" s="47">
        <f>INDEX(Direct_Cost_Splits_Network,MATCH($H8,RIN_Asset_Cat_Network,0),MATCH($S$4,Direct_Cost_Type,0))*K8*HLOOKUP(T$5,Escalators!$I$25:$U$30,3,FALSE)</f>
        <v>0</v>
      </c>
      <c r="U8" s="47">
        <f>INDEX(Direct_Cost_Splits_Network,MATCH($H8,RIN_Asset_Cat_Network,0),MATCH($S$4,Direct_Cost_Type,0))*L8*HLOOKUP(U$5,Escalators!$I$25:$U$30,3,FALSE)</f>
        <v>0</v>
      </c>
      <c r="V8" s="47">
        <f>INDEX(Direct_Cost_Splits_Network,MATCH($H8,RIN_Asset_Cat_Network,0),MATCH($S$4,Direct_Cost_Type,0))*M8*HLOOKUP(V$5,Escalators!$I$25:$U$30,3,FALSE)</f>
        <v>9.2838600712360222</v>
      </c>
      <c r="W8" s="47">
        <f>INDEX(Direct_Cost_Splits_Network,MATCH($H8,RIN_Asset_Cat_Network,0),MATCH($S$4,Direct_Cost_Type,0))*N8*HLOOKUP(W$5,Escalators!$I$25:$U$30,3,FALSE)</f>
        <v>9.3791139818907183</v>
      </c>
      <c r="X8" s="47">
        <f>INDEX(Direct_Cost_Splits_Network,MATCH($H8,RIN_Asset_Cat_Network,0),MATCH($S$4,Direct_Cost_Type,0))*O8*HLOOKUP(X$5,Escalators!$I$25:$U$30,3,FALSE)</f>
        <v>9.4800696856800517</v>
      </c>
      <c r="Y8" s="47">
        <f>INDEX(Direct_Cost_Splits_Network,MATCH($H8,RIN_Asset_Cat_Network,0),MATCH($S$4,Direct_Cost_Type,0))*P8*HLOOKUP(Y$5,Escalators!$I$25:$U$30,3,FALSE)</f>
        <v>9.5697062022438484</v>
      </c>
      <c r="Z8" s="47">
        <f>INDEX(Direct_Cost_Splits_Network,MATCH($H8,RIN_Asset_Cat_Network,0),MATCH($S$4,Direct_Cost_Type,0))*Q8*HLOOKUP(Z$5,Escalators!$I$25:$U$30,3,FALSE)</f>
        <v>9.653919616823595</v>
      </c>
      <c r="AB8" s="47">
        <f>INDEX(Direct_Cost_Splits_Network,MATCH($H8,RIN_Asset_Cat_Network,0),MATCH($AG$4,Direct_Cost_Type,0))*$J8*INDEX(Act_Type_Repex_Splits,MATCH($I8,Act_Type_Repex,0),MATCH(AB$4,Mat_Type,0))*INDEX(Escalators!$I$44:$Q$49,MATCH(AB$4,Escalators!$C$44:$C$49,0),MATCH(AB$5,Escalators!$I$43:$Q$43,0))</f>
        <v>0</v>
      </c>
      <c r="AC8" s="47">
        <f>INDEX(Direct_Cost_Splits_Network,MATCH($H8,RIN_Asset_Cat_Network,0),MATCH($AG$4,Direct_Cost_Type,0))*$J8*INDEX(Act_Type_Repex_Splits,MATCH($I8,Act_Type_Repex,0),MATCH(AC$4,Mat_Type,0))*INDEX(Escalators!$I$44:$Q$49,MATCH(AC$4,Escalators!$C$44:$C$49,0),MATCH(AC$5,Escalators!$I$43:$Q$43,0))</f>
        <v>0</v>
      </c>
      <c r="AD8" s="47">
        <f>INDEX(Direct_Cost_Splits_Network,MATCH($H8,RIN_Asset_Cat_Network,0),MATCH($AG$4,Direct_Cost_Type,0))*$J8*INDEX(Act_Type_Repex_Splits,MATCH($I8,Act_Type_Repex,0),MATCH(AD$4,Mat_Type,0))*INDEX(Escalators!$I$44:$Q$49,MATCH(AD$4,Escalators!$C$44:$C$49,0),MATCH(AD$5,Escalators!$I$43:$Q$43,0))</f>
        <v>0</v>
      </c>
      <c r="AE8" s="47">
        <f>INDEX(Direct_Cost_Splits_Network,MATCH($H8,RIN_Asset_Cat_Network,0),MATCH($AG$4,Direct_Cost_Type,0))*$J8*INDEX(Act_Type_Repex_Splits,MATCH($I8,Act_Type_Repex,0),MATCH(AE$4,Mat_Type,0))*INDEX(Escalators!$I$44:$Q$49,MATCH(AE$4,Escalators!$C$44:$C$49,0),MATCH(AE$5,Escalators!$I$43:$Q$43,0))</f>
        <v>0</v>
      </c>
      <c r="AF8" s="47">
        <f>INDEX(Direct_Cost_Splits_Network,MATCH($H8,RIN_Asset_Cat_Network,0),MATCH($AG$4,Direct_Cost_Type,0))*$J8*INDEX(Act_Type_Repex_Splits,MATCH($I8,Act_Type_Repex,0),MATCH(AF$4,Mat_Type,0))*INDEX(Escalators!$I$44:$Q$49,MATCH(AF$4,Escalators!$C$44:$C$49,0),MATCH(AF$5,Escalators!$I$43:$Q$43,0))</f>
        <v>0</v>
      </c>
      <c r="AG8" s="47">
        <f t="shared" si="17"/>
        <v>0</v>
      </c>
      <c r="AH8" s="47">
        <f>INDEX(Direct_Cost_Splits_Network,MATCH($H8,RIN_Asset_Cat_Network,0),MATCH($AY$4,Direct_Cost_Type,0))*$K8*INDEX(Act_Type_Repex_Splits,MATCH($I8,Act_Type_Repex,0),MATCH(AH$4,Mat_Type,0))*INDEX(Escalators!$I$44:$U$49,MATCH(AH$4,Escalators!$C$44:$C$49,0),MATCH(AH$5,Escalators!$I$43:$U$43,0))</f>
        <v>0</v>
      </c>
      <c r="AI8" s="47">
        <f>INDEX(Direct_Cost_Splits_Network,MATCH($H8,RIN_Asset_Cat_Network,0),MATCH($AY$4,Direct_Cost_Type,0))*$K8*INDEX(Act_Type_Repex_Splits,MATCH($I8,Act_Type_Repex,0),MATCH(AI$4,Mat_Type,0))*INDEX(Escalators!$I$44:$U$49,MATCH(AI$4,Escalators!$C$44:$C$49,0),MATCH(AI$5,Escalators!$I$43:$U$43,0))</f>
        <v>0</v>
      </c>
      <c r="AJ8" s="47">
        <f>INDEX(Direct_Cost_Splits_Network,MATCH($H8,RIN_Asset_Cat_Network,0),MATCH($AY$4,Direct_Cost_Type,0))*$K8*INDEX(Act_Type_Repex_Splits,MATCH($I8,Act_Type_Repex,0),MATCH(AJ$4,Mat_Type,0))*INDEX(Escalators!$I$44:$U$49,MATCH(AJ$4,Escalators!$C$44:$C$49,0),MATCH(AJ$5,Escalators!$I$43:$U$43,0))</f>
        <v>0</v>
      </c>
      <c r="AK8" s="47">
        <f>INDEX(Direct_Cost_Splits_Network,MATCH($H8,RIN_Asset_Cat_Network,0),MATCH($AY$4,Direct_Cost_Type,0))*$K8*INDEX(Act_Type_Repex_Splits,MATCH($I8,Act_Type_Repex,0),MATCH(AK$4,Mat_Type,0))*INDEX(Escalators!$I$44:$U$49,MATCH(AK$4,Escalators!$C$44:$C$49,0),MATCH(AK$5,Escalators!$I$43:$U$43,0))</f>
        <v>0</v>
      </c>
      <c r="AL8" s="47">
        <f>INDEX(Direct_Cost_Splits_Network,MATCH($H8,RIN_Asset_Cat_Network,0),MATCH($AY$4,Direct_Cost_Type,0))*$K8*INDEX(Act_Type_Repex_Splits,MATCH($I8,Act_Type_Repex,0),MATCH(AL$4,Mat_Type,0))*INDEX(Escalators!$I$44:$U$49,MATCH(AL$4,Escalators!$C$44:$C$49,0),MATCH(AL$5,Escalators!$I$43:$U$43,0))</f>
        <v>0</v>
      </c>
      <c r="AM8" s="47">
        <f t="shared" si="18"/>
        <v>0</v>
      </c>
      <c r="AN8" s="47">
        <f>INDEX(Direct_Cost_Splits_Network,MATCH($H8,RIN_Asset_Cat_Network,0),MATCH($AY$4,Direct_Cost_Type,0))*$L8*INDEX(Act_Type_Repex_Splits,MATCH($I8,Act_Type_Repex,0),MATCH(AN$4,Mat_Type,0))*INDEX(Escalators!$I$44:$U$49,MATCH(AN$4,Escalators!$C$44:$C$49,0),MATCH(AN$5,Escalators!$I$43:$U$43,0))</f>
        <v>0</v>
      </c>
      <c r="AO8" s="47">
        <f>INDEX(Direct_Cost_Splits_Network,MATCH($H8,RIN_Asset_Cat_Network,0),MATCH($AY$4,Direct_Cost_Type,0))*$L8*INDEX(Act_Type_Repex_Splits,MATCH($I8,Act_Type_Repex,0),MATCH(AO$4,Mat_Type,0))*INDEX(Escalators!$I$44:$U$49,MATCH(AO$4,Escalators!$C$44:$C$49,0),MATCH(AO$5,Escalators!$I$43:$U$43,0))</f>
        <v>0</v>
      </c>
      <c r="AP8" s="47">
        <f>INDEX(Direct_Cost_Splits_Network,MATCH($H8,RIN_Asset_Cat_Network,0),MATCH($AY$4,Direct_Cost_Type,0))*$L8*INDEX(Act_Type_Repex_Splits,MATCH($I8,Act_Type_Repex,0),MATCH(AP$4,Mat_Type,0))*INDEX(Escalators!$I$44:$U$49,MATCH(AP$4,Escalators!$C$44:$C$49,0),MATCH(AP$5,Escalators!$I$43:$U$43,0))</f>
        <v>0</v>
      </c>
      <c r="AQ8" s="47">
        <f>INDEX(Direct_Cost_Splits_Network,MATCH($H8,RIN_Asset_Cat_Network,0),MATCH($AY$4,Direct_Cost_Type,0))*$L8*INDEX(Act_Type_Repex_Splits,MATCH($I8,Act_Type_Repex,0),MATCH(AQ$4,Mat_Type,0))*INDEX(Escalators!$I$44:$U$49,MATCH(AQ$4,Escalators!$C$44:$C$49,0),MATCH(AQ$5,Escalators!$I$43:$U$43,0))</f>
        <v>0</v>
      </c>
      <c r="AR8" s="47">
        <f>INDEX(Direct_Cost_Splits_Network,MATCH($H8,RIN_Asset_Cat_Network,0),MATCH($AY$4,Direct_Cost_Type,0))*$L8*INDEX(Act_Type_Repex_Splits,MATCH($I8,Act_Type_Repex,0),MATCH(AR$4,Mat_Type,0))*INDEX(Escalators!$I$44:$U$49,MATCH(AR$4,Escalators!$C$44:$C$49,0),MATCH(AR$5,Escalators!$I$43:$U$43,0))</f>
        <v>0</v>
      </c>
      <c r="AS8" s="47">
        <f t="shared" si="19"/>
        <v>0</v>
      </c>
      <c r="AT8" s="47">
        <f>INDEX(Direct_Cost_Splits_Network,MATCH($H8,RIN_Asset_Cat_Network,0),MATCH($AY$4,Direct_Cost_Type,0))*$M8*INDEX(Act_Type_Repex_Splits,MATCH($I8,Act_Type_Repex,0),MATCH(AT$4,Mat_Type,0))*INDEX(Escalators!$I$44:$U$49,MATCH(AT$4,Escalators!$C$44:$C$49,0),MATCH(AT$5,Escalators!$I$43:$U$43,0))</f>
        <v>0</v>
      </c>
      <c r="AU8" s="47">
        <f>INDEX(Direct_Cost_Splits_Network,MATCH($H8,RIN_Asset_Cat_Network,0),MATCH($AY$4,Direct_Cost_Type,0))*$M8*INDEX(Act_Type_Repex_Splits,MATCH($I8,Act_Type_Repex,0),MATCH(AU$4,Mat_Type,0))*INDEX(Escalators!$I$44:$U$49,MATCH(AU$4,Escalators!$C$44:$C$49,0),MATCH(AU$5,Escalators!$I$43:$U$43,0))</f>
        <v>0</v>
      </c>
      <c r="AV8" s="47">
        <f>INDEX(Direct_Cost_Splits_Network,MATCH($H8,RIN_Asset_Cat_Network,0),MATCH($AY$4,Direct_Cost_Type,0))*$M8*INDEX(Act_Type_Repex_Splits,MATCH($I8,Act_Type_Repex,0),MATCH(AV$4,Mat_Type,0))*INDEX(Escalators!$I$44:$U$49,MATCH(AV$4,Escalators!$C$44:$C$49,0),MATCH(AV$5,Escalators!$I$43:$U$43,0))</f>
        <v>5.9372762844462796</v>
      </c>
      <c r="AW8" s="47">
        <f>INDEX(Direct_Cost_Splits_Network,MATCH($H8,RIN_Asset_Cat_Network,0),MATCH($AY$4,Direct_Cost_Type,0))*$M8*INDEX(Act_Type_Repex_Splits,MATCH($I8,Act_Type_Repex,0),MATCH(AW$4,Mat_Type,0))*INDEX(Escalators!$I$44:$U$49,MATCH(AW$4,Escalators!$C$44:$C$49,0),MATCH(AW$5,Escalators!$I$43:$U$43,0))</f>
        <v>0</v>
      </c>
      <c r="AX8" s="47">
        <f>INDEX(Direct_Cost_Splits_Network,MATCH($H8,RIN_Asset_Cat_Network,0),MATCH($AY$4,Direct_Cost_Type,0))*$M8*INDEX(Act_Type_Repex_Splits,MATCH($I8,Act_Type_Repex,0),MATCH(AX$4,Mat_Type,0))*INDEX(Escalators!$I$44:$U$49,MATCH(AX$4,Escalators!$C$44:$C$49,0),MATCH(AX$5,Escalators!$I$43:$U$43,0))</f>
        <v>13.853644663707986</v>
      </c>
      <c r="AY8" s="47">
        <f t="shared" si="20"/>
        <v>19.790920948154266</v>
      </c>
      <c r="AZ8" s="47">
        <f>INDEX(Direct_Cost_Splits_Network,MATCH($H8,RIN_Asset_Cat_Network,0),MATCH($BE$4,Direct_Cost_Type,0))*$N8*INDEX(Act_Type_Repex_Splits,MATCH($I8,Act_Type_Repex,0),MATCH(AZ$4,Mat_Type,0))*INDEX(Escalators!$I$44:$U$49,MATCH(AZ$4,Escalators!$C$44:$C$49,0),MATCH(AZ$5,Escalators!$I$43:$U$43,0))</f>
        <v>0</v>
      </c>
      <c r="BA8" s="47">
        <f>INDEX(Direct_Cost_Splits_Network,MATCH($H8,RIN_Asset_Cat_Network,0),MATCH($BE$4,Direct_Cost_Type,0))*$N8*INDEX(Act_Type_Repex_Splits,MATCH($I8,Act_Type_Repex,0),MATCH(BA$4,Mat_Type,0))*INDEX(Escalators!$I$44:$U$49,MATCH(BA$4,Escalators!$C$44:$C$49,0),MATCH(BA$5,Escalators!$I$43:$U$43,0))</f>
        <v>0</v>
      </c>
      <c r="BB8" s="47">
        <f>INDEX(Direct_Cost_Splits_Network,MATCH($H8,RIN_Asset_Cat_Network,0),MATCH($BE$4,Direct_Cost_Type,0))*$N8*INDEX(Act_Type_Repex_Splits,MATCH($I8,Act_Type_Repex,0),MATCH(BB$4,Mat_Type,0))*INDEX(Escalators!$I$44:$U$49,MATCH(BB$4,Escalators!$C$44:$C$49,0),MATCH(BB$5,Escalators!$I$43:$U$43,0))</f>
        <v>5.9372762844462796</v>
      </c>
      <c r="BC8" s="47">
        <f>INDEX(Direct_Cost_Splits_Network,MATCH($H8,RIN_Asset_Cat_Network,0),MATCH($BE$4,Direct_Cost_Type,0))*$N8*INDEX(Act_Type_Repex_Splits,MATCH($I8,Act_Type_Repex,0),MATCH(BC$4,Mat_Type,0))*INDEX(Escalators!$I$44:$U$49,MATCH(BC$4,Escalators!$C$44:$C$49,0),MATCH(BC$5,Escalators!$I$43:$U$43,0))</f>
        <v>0</v>
      </c>
      <c r="BD8" s="47">
        <f>INDEX(Direct_Cost_Splits_Network,MATCH($H8,RIN_Asset_Cat_Network,0),MATCH($BE$4,Direct_Cost_Type,0))*$N8*INDEX(Act_Type_Repex_Splits,MATCH($I8,Act_Type_Repex,0),MATCH(BD$4,Mat_Type,0))*INDEX(Escalators!$I$44:$U$49,MATCH(BD$4,Escalators!$C$44:$C$49,0),MATCH(BD$5,Escalators!$I$43:$U$43,0))</f>
        <v>13.853644663707986</v>
      </c>
      <c r="BE8" s="47">
        <f t="shared" si="21"/>
        <v>19.790920948154266</v>
      </c>
      <c r="BF8" s="47">
        <f>INDEX(Direct_Cost_Splits_Network,MATCH($H8,RIN_Asset_Cat_Network,0),MATCH($BK$4,Direct_Cost_Type,0))*$O8*INDEX(Act_Type_Repex_Splits,MATCH($I8,Act_Type_Repex,0),MATCH(BF$4,Mat_Type,0))*INDEX(Escalators!$I$44:$U$49,MATCH(BF$4,Escalators!$C$44:$C$49,0),MATCH(BF$5,Escalators!$I$43:$U$43,0))</f>
        <v>0</v>
      </c>
      <c r="BG8" s="47">
        <f>INDEX(Direct_Cost_Splits_Network,MATCH($H8,RIN_Asset_Cat_Network,0),MATCH($BK$4,Direct_Cost_Type,0))*$O8*INDEX(Act_Type_Repex_Splits,MATCH($I8,Act_Type_Repex,0),MATCH(BG$4,Mat_Type,0))*INDEX(Escalators!$I$44:$U$49,MATCH(BG$4,Escalators!$C$44:$C$49,0),MATCH(BG$5,Escalators!$I$43:$U$43,0))</f>
        <v>0</v>
      </c>
      <c r="BH8" s="47">
        <f>INDEX(Direct_Cost_Splits_Network,MATCH($H8,RIN_Asset_Cat_Network,0),MATCH($BK$4,Direct_Cost_Type,0))*$O8*INDEX(Act_Type_Repex_Splits,MATCH($I8,Act_Type_Repex,0),MATCH(BH$4,Mat_Type,0))*INDEX(Escalators!$I$44:$U$49,MATCH(BH$4,Escalators!$C$44:$C$49,0),MATCH(BH$5,Escalators!$I$43:$U$43,0))</f>
        <v>5.9372762844462796</v>
      </c>
      <c r="BI8" s="47">
        <f>INDEX(Direct_Cost_Splits_Network,MATCH($H8,RIN_Asset_Cat_Network,0),MATCH($BK$4,Direct_Cost_Type,0))*$O8*INDEX(Act_Type_Repex_Splits,MATCH($I8,Act_Type_Repex,0),MATCH(BI$4,Mat_Type,0))*INDEX(Escalators!$I$44:$U$49,MATCH(BI$4,Escalators!$C$44:$C$49,0),MATCH(BI$5,Escalators!$I$43:$U$43,0))</f>
        <v>0</v>
      </c>
      <c r="BJ8" s="47">
        <f>INDEX(Direct_Cost_Splits_Network,MATCH($H8,RIN_Asset_Cat_Network,0),MATCH($BK$4,Direct_Cost_Type,0))*$O8*INDEX(Act_Type_Repex_Splits,MATCH($I8,Act_Type_Repex,0),MATCH(BJ$4,Mat_Type,0))*INDEX(Escalators!$I$44:$U$49,MATCH(BJ$4,Escalators!$C$44:$C$49,0),MATCH(BJ$5,Escalators!$I$43:$U$43,0))</f>
        <v>13.853644663707986</v>
      </c>
      <c r="BK8" s="47">
        <f t="shared" si="22"/>
        <v>19.790920948154266</v>
      </c>
      <c r="BL8" s="47">
        <f>INDEX(Direct_Cost_Splits_Network,MATCH($H8,RIN_Asset_Cat_Network,0),MATCH($BQ$4,Direct_Cost_Type,0))*$P8*INDEX(Act_Type_Repex_Splits,MATCH($I8,Act_Type_Repex,0),MATCH(BL$4,Mat_Type,0))*INDEX(Escalators!$I$44:$U$49,MATCH(BL$4,Escalators!$C$44:$C$49,0),MATCH(BL$5,Escalators!$I$43:$U$43,0))</f>
        <v>0</v>
      </c>
      <c r="BM8" s="47">
        <f>INDEX(Direct_Cost_Splits_Network,MATCH($H8,RIN_Asset_Cat_Network,0),MATCH($BQ$4,Direct_Cost_Type,0))*$P8*INDEX(Act_Type_Repex_Splits,MATCH($I8,Act_Type_Repex,0),MATCH(BM$4,Mat_Type,0))*INDEX(Escalators!$I$44:$U$49,MATCH(BM$4,Escalators!$C$44:$C$49,0),MATCH(BM$5,Escalators!$I$43:$U$43,0))</f>
        <v>0</v>
      </c>
      <c r="BN8" s="47">
        <f>INDEX(Direct_Cost_Splits_Network,MATCH($H8,RIN_Asset_Cat_Network,0),MATCH($BQ$4,Direct_Cost_Type,0))*$P8*INDEX(Act_Type_Repex_Splits,MATCH($I8,Act_Type_Repex,0),MATCH(BN$4,Mat_Type,0))*INDEX(Escalators!$I$44:$U$49,MATCH(BN$4,Escalators!$C$44:$C$49,0),MATCH(BN$5,Escalators!$I$43:$U$43,0))</f>
        <v>5.9372762844462796</v>
      </c>
      <c r="BO8" s="47">
        <f>INDEX(Direct_Cost_Splits_Network,MATCH($H8,RIN_Asset_Cat_Network,0),MATCH($BQ$4,Direct_Cost_Type,0))*$P8*INDEX(Act_Type_Repex_Splits,MATCH($I8,Act_Type_Repex,0),MATCH(BO$4,Mat_Type,0))*INDEX(Escalators!$I$44:$U$49,MATCH(BO$4,Escalators!$C$44:$C$49,0),MATCH(BO$5,Escalators!$I$43:$U$43,0))</f>
        <v>0</v>
      </c>
      <c r="BP8" s="47">
        <f>INDEX(Direct_Cost_Splits_Network,MATCH($H8,RIN_Asset_Cat_Network,0),MATCH($BQ$4,Direct_Cost_Type,0))*$P8*INDEX(Act_Type_Repex_Splits,MATCH($I8,Act_Type_Repex,0),MATCH(BP$4,Mat_Type,0))*INDEX(Escalators!$I$44:$U$49,MATCH(BP$4,Escalators!$C$44:$C$49,0),MATCH(BP$5,Escalators!$I$43:$U$43,0))</f>
        <v>13.853644663707986</v>
      </c>
      <c r="BQ8" s="47">
        <f t="shared" si="23"/>
        <v>19.790920948154266</v>
      </c>
      <c r="BR8" s="47">
        <f>INDEX(Direct_Cost_Splits_Network,MATCH($H8,RIN_Asset_Cat_Network,0),MATCH($BW$4,Direct_Cost_Type,0))*$Q8*INDEX(Act_Type_Repex_Splits,MATCH($I8,Act_Type_Repex,0),MATCH(BR$4,Mat_Type,0))*INDEX(Escalators!$I$44:$U$49,MATCH(BR$4,Escalators!$C$44:$C$49,0),MATCH(BR$5,Escalators!$I$43:$U$43,0))</f>
        <v>0</v>
      </c>
      <c r="BS8" s="47">
        <f>INDEX(Direct_Cost_Splits_Network,MATCH($H8,RIN_Asset_Cat_Network,0),MATCH($BW$4,Direct_Cost_Type,0))*$Q8*INDEX(Act_Type_Repex_Splits,MATCH($I8,Act_Type_Repex,0),MATCH(BS$4,Mat_Type,0))*INDEX(Escalators!$I$44:$U$49,MATCH(BS$4,Escalators!$C$44:$C$49,0),MATCH(BS$5,Escalators!$I$43:$U$43,0))</f>
        <v>0</v>
      </c>
      <c r="BT8" s="47">
        <f>INDEX(Direct_Cost_Splits_Network,MATCH($H8,RIN_Asset_Cat_Network,0),MATCH($BW$4,Direct_Cost_Type,0))*$Q8*INDEX(Act_Type_Repex_Splits,MATCH($I8,Act_Type_Repex,0),MATCH(BT$4,Mat_Type,0))*INDEX(Escalators!$I$44:$U$49,MATCH(BT$4,Escalators!$C$44:$C$49,0),MATCH(BT$5,Escalators!$I$43:$U$43,0))</f>
        <v>5.9372762844462796</v>
      </c>
      <c r="BU8" s="47">
        <f>INDEX(Direct_Cost_Splits_Network,MATCH($H8,RIN_Asset_Cat_Network,0),MATCH($BW$4,Direct_Cost_Type,0))*$Q8*INDEX(Act_Type_Repex_Splits,MATCH($I8,Act_Type_Repex,0),MATCH(BU$4,Mat_Type,0))*INDEX(Escalators!$I$44:$U$49,MATCH(BU$4,Escalators!$C$44:$C$49,0),MATCH(BU$5,Escalators!$I$43:$U$43,0))</f>
        <v>0</v>
      </c>
      <c r="BV8" s="47">
        <f>INDEX(Direct_Cost_Splits_Network,MATCH($H8,RIN_Asset_Cat_Network,0),MATCH($BW$4,Direct_Cost_Type,0))*$Q8*INDEX(Act_Type_Repex_Splits,MATCH($I8,Act_Type_Repex,0),MATCH(BV$4,Mat_Type,0))*INDEX(Escalators!$I$44:$U$49,MATCH(BV$4,Escalators!$C$44:$C$49,0),MATCH(BV$5,Escalators!$I$43:$U$43,0))</f>
        <v>13.853644663707986</v>
      </c>
      <c r="BW8" s="47">
        <f t="shared" si="24"/>
        <v>19.790920948154266</v>
      </c>
      <c r="BY8" s="47">
        <f>INDEX(Direct_Cost_Splits_Network,MATCH($H8,RIN_Asset_Cat_Network,0),MATCH($BY$4,Direct_Cost_Type,0))*J8*HLOOKUP(BY$5,Escalators!$I$25:$U$30,6,FALSE)</f>
        <v>0</v>
      </c>
      <c r="BZ8" s="47">
        <f>INDEX(Direct_Cost_Splits_Network,MATCH($H8,RIN_Asset_Cat_Network,0),MATCH($BY$4,Direct_Cost_Type,0))*K8*HLOOKUP(BZ$5,Escalators!$I$25:$U$30,6,FALSE)</f>
        <v>0</v>
      </c>
      <c r="CA8" s="47">
        <f>INDEX(Direct_Cost_Splits_Network,MATCH($H8,RIN_Asset_Cat_Network,0),MATCH($BY$4,Direct_Cost_Type,0))*L8*HLOOKUP(CA$5,Escalators!$I$25:$U$30,6,FALSE)</f>
        <v>0</v>
      </c>
      <c r="CB8" s="47">
        <f>INDEX(Direct_Cost_Splits_Network,MATCH($H8,RIN_Asset_Cat_Network,0),MATCH($BY$4,Direct_Cost_Type,0))*M8*HLOOKUP(CB$5,Escalators!$I$25:$U$30,6,FALSE)</f>
        <v>54.767630362627393</v>
      </c>
      <c r="CC8" s="47">
        <f>INDEX(Direct_Cost_Splits_Network,MATCH($H8,RIN_Asset_Cat_Network,0),MATCH($BY$4,Direct_Cost_Type,0))*N8*HLOOKUP(CC$5,Escalators!$I$25:$U$30,6,FALSE)</f>
        <v>55.329555136299319</v>
      </c>
      <c r="CD8" s="47">
        <f>INDEX(Direct_Cost_Splits_Network,MATCH($H8,RIN_Asset_Cat_Network,0),MATCH($BY$4,Direct_Cost_Type,0))*O8*HLOOKUP(CD$5,Escalators!$I$25:$U$30,6,FALSE)</f>
        <v>55.925116101857583</v>
      </c>
      <c r="CE8" s="47">
        <f>INDEX(Direct_Cost_Splits_Network,MATCH($H8,RIN_Asset_Cat_Network,0),MATCH($BY$4,Direct_Cost_Type,0))*P8*HLOOKUP(CE$5,Escalators!$I$25:$U$30,6,FALSE)</f>
        <v>56.453902573055011</v>
      </c>
      <c r="CF8" s="47">
        <f>INDEX(Direct_Cost_Splits_Network,MATCH($H8,RIN_Asset_Cat_Network,0),MATCH($BY$4,Direct_Cost_Type,0))*Q8*HLOOKUP(CF$5,Escalators!$I$25:$U$30,6,FALSE)</f>
        <v>56.95069691569789</v>
      </c>
      <c r="CH8" s="83">
        <f t="shared" si="8"/>
        <v>0</v>
      </c>
      <c r="CI8" s="83">
        <f t="shared" si="8"/>
        <v>0</v>
      </c>
      <c r="CJ8" s="83">
        <f t="shared" si="8"/>
        <v>0</v>
      </c>
      <c r="CK8" s="83">
        <f t="shared" si="8"/>
        <v>8.2046836662808733</v>
      </c>
      <c r="CL8" s="83">
        <f t="shared" si="8"/>
        <v>8.2046836662808733</v>
      </c>
      <c r="CM8" s="83">
        <f t="shared" si="8"/>
        <v>8.2046836662808733</v>
      </c>
      <c r="CN8" s="83">
        <f t="shared" si="8"/>
        <v>8.2046836662808733</v>
      </c>
      <c r="CO8" s="83">
        <f t="shared" si="8"/>
        <v>8.2046836662808733</v>
      </c>
      <c r="CQ8" s="47">
        <f t="shared" si="9"/>
        <v>0</v>
      </c>
      <c r="CR8" s="47">
        <f t="shared" si="10"/>
        <v>0</v>
      </c>
      <c r="CS8" s="47">
        <f t="shared" si="11"/>
        <v>0</v>
      </c>
      <c r="CT8" s="47">
        <f t="shared" si="12"/>
        <v>92.047095048298544</v>
      </c>
      <c r="CU8" s="47">
        <f t="shared" si="13"/>
        <v>92.704273732625168</v>
      </c>
      <c r="CV8" s="47">
        <f t="shared" si="14"/>
        <v>93.40079040197277</v>
      </c>
      <c r="CW8" s="47">
        <f t="shared" si="15"/>
        <v>94.019213389733991</v>
      </c>
      <c r="CX8" s="47">
        <f t="shared" si="16"/>
        <v>94.600221146956628</v>
      </c>
      <c r="CZ8" s="39"/>
      <c r="DA8" s="39"/>
      <c r="DB8" s="39"/>
      <c r="DC8" s="39"/>
      <c r="DD8" s="39"/>
      <c r="DE8" s="39"/>
    </row>
    <row r="9" spans="2:109" x14ac:dyDescent="0.3">
      <c r="B9" s="7"/>
      <c r="C9" s="7" t="s">
        <v>118</v>
      </c>
      <c r="D9" s="7" t="s">
        <v>119</v>
      </c>
      <c r="E9" s="7" t="s">
        <v>45</v>
      </c>
      <c r="F9" s="7" t="s">
        <v>55</v>
      </c>
      <c r="G9" s="7" t="s">
        <v>150</v>
      </c>
      <c r="H9" s="7" t="s">
        <v>5</v>
      </c>
      <c r="I9" s="7" t="s">
        <v>209</v>
      </c>
      <c r="J9" s="45"/>
      <c r="K9" s="45"/>
      <c r="L9" s="45"/>
      <c r="M9" s="45">
        <v>50</v>
      </c>
      <c r="N9" s="45">
        <v>50</v>
      </c>
      <c r="O9" s="45">
        <v>50</v>
      </c>
      <c r="P9" s="45">
        <v>50</v>
      </c>
      <c r="Q9" s="45">
        <v>50</v>
      </c>
      <c r="S9" s="47">
        <f>INDEX(Direct_Cost_Splits_Network,MATCH($H9,RIN_Asset_Cat_Network,0),MATCH($S$4,Direct_Cost_Type,0))*J9*HLOOKUP(S$5,Escalators!$I$25:$U$30,3,FALSE)</f>
        <v>0</v>
      </c>
      <c r="T9" s="47">
        <f>INDEX(Direct_Cost_Splits_Network,MATCH($H9,RIN_Asset_Cat_Network,0),MATCH($S$4,Direct_Cost_Type,0))*K9*HLOOKUP(T$5,Escalators!$I$25:$U$30,3,FALSE)</f>
        <v>0</v>
      </c>
      <c r="U9" s="47">
        <f>INDEX(Direct_Cost_Splits_Network,MATCH($H9,RIN_Asset_Cat_Network,0),MATCH($S$4,Direct_Cost_Type,0))*L9*HLOOKUP(U$5,Escalators!$I$25:$U$30,3,FALSE)</f>
        <v>0</v>
      </c>
      <c r="V9" s="47">
        <f>INDEX(Direct_Cost_Splits_Network,MATCH($H9,RIN_Asset_Cat_Network,0),MATCH($S$4,Direct_Cost_Type,0))*M9*HLOOKUP(V$5,Escalators!$I$25:$U$30,3,FALSE)</f>
        <v>5.1577000395755679</v>
      </c>
      <c r="W9" s="47">
        <f>INDEX(Direct_Cost_Splits_Network,MATCH($H9,RIN_Asset_Cat_Network,0),MATCH($S$4,Direct_Cost_Type,0))*N9*HLOOKUP(W$5,Escalators!$I$25:$U$30,3,FALSE)</f>
        <v>5.2106188788281766</v>
      </c>
      <c r="X9" s="47">
        <f>INDEX(Direct_Cost_Splits_Network,MATCH($H9,RIN_Asset_Cat_Network,0),MATCH($S$4,Direct_Cost_Type,0))*O9*HLOOKUP(X$5,Escalators!$I$25:$U$30,3,FALSE)</f>
        <v>5.266705380933363</v>
      </c>
      <c r="Y9" s="47">
        <f>INDEX(Direct_Cost_Splits_Network,MATCH($H9,RIN_Asset_Cat_Network,0),MATCH($S$4,Direct_Cost_Type,0))*P9*HLOOKUP(Y$5,Escalators!$I$25:$U$30,3,FALSE)</f>
        <v>5.3165034456910272</v>
      </c>
      <c r="Z9" s="47">
        <f>INDEX(Direct_Cost_Splits_Network,MATCH($H9,RIN_Asset_Cat_Network,0),MATCH($S$4,Direct_Cost_Type,0))*Q9*HLOOKUP(Z$5,Escalators!$I$25:$U$30,3,FALSE)</f>
        <v>5.3632886760131084</v>
      </c>
      <c r="AB9" s="47">
        <f>INDEX(Direct_Cost_Splits_Network,MATCH($H9,RIN_Asset_Cat_Network,0),MATCH($AG$4,Direct_Cost_Type,0))*$J9*INDEX(Act_Type_Repex_Splits,MATCH($I9,Act_Type_Repex,0),MATCH(AB$4,Mat_Type,0))*INDEX(Escalators!$I$44:$Q$49,MATCH(AB$4,Escalators!$C$44:$C$49,0),MATCH(AB$5,Escalators!$I$43:$Q$43,0))</f>
        <v>0</v>
      </c>
      <c r="AC9" s="47">
        <f>INDEX(Direct_Cost_Splits_Network,MATCH($H9,RIN_Asset_Cat_Network,0),MATCH($AG$4,Direct_Cost_Type,0))*$J9*INDEX(Act_Type_Repex_Splits,MATCH($I9,Act_Type_Repex,0),MATCH(AC$4,Mat_Type,0))*INDEX(Escalators!$I$44:$Q$49,MATCH(AC$4,Escalators!$C$44:$C$49,0),MATCH(AC$5,Escalators!$I$43:$Q$43,0))</f>
        <v>0</v>
      </c>
      <c r="AD9" s="47">
        <f>INDEX(Direct_Cost_Splits_Network,MATCH($H9,RIN_Asset_Cat_Network,0),MATCH($AG$4,Direct_Cost_Type,0))*$J9*INDEX(Act_Type_Repex_Splits,MATCH($I9,Act_Type_Repex,0),MATCH(AD$4,Mat_Type,0))*INDEX(Escalators!$I$44:$Q$49,MATCH(AD$4,Escalators!$C$44:$C$49,0),MATCH(AD$5,Escalators!$I$43:$Q$43,0))</f>
        <v>0</v>
      </c>
      <c r="AE9" s="47">
        <f>INDEX(Direct_Cost_Splits_Network,MATCH($H9,RIN_Asset_Cat_Network,0),MATCH($AG$4,Direct_Cost_Type,0))*$J9*INDEX(Act_Type_Repex_Splits,MATCH($I9,Act_Type_Repex,0),MATCH(AE$4,Mat_Type,0))*INDEX(Escalators!$I$44:$Q$49,MATCH(AE$4,Escalators!$C$44:$C$49,0),MATCH(AE$5,Escalators!$I$43:$Q$43,0))</f>
        <v>0</v>
      </c>
      <c r="AF9" s="47">
        <f>INDEX(Direct_Cost_Splits_Network,MATCH($H9,RIN_Asset_Cat_Network,0),MATCH($AG$4,Direct_Cost_Type,0))*$J9*INDEX(Act_Type_Repex_Splits,MATCH($I9,Act_Type_Repex,0),MATCH(AF$4,Mat_Type,0))*INDEX(Escalators!$I$44:$Q$49,MATCH(AF$4,Escalators!$C$44:$C$49,0),MATCH(AF$5,Escalators!$I$43:$Q$43,0))</f>
        <v>0</v>
      </c>
      <c r="AG9" s="47">
        <f t="shared" si="17"/>
        <v>0</v>
      </c>
      <c r="AH9" s="47">
        <f>INDEX(Direct_Cost_Splits_Network,MATCH($H9,RIN_Asset_Cat_Network,0),MATCH($AY$4,Direct_Cost_Type,0))*$K9*INDEX(Act_Type_Repex_Splits,MATCH($I9,Act_Type_Repex,0),MATCH(AH$4,Mat_Type,0))*INDEX(Escalators!$I$44:$U$49,MATCH(AH$4,Escalators!$C$44:$C$49,0),MATCH(AH$5,Escalators!$I$43:$U$43,0))</f>
        <v>0</v>
      </c>
      <c r="AI9" s="47">
        <f>INDEX(Direct_Cost_Splits_Network,MATCH($H9,RIN_Asset_Cat_Network,0),MATCH($AY$4,Direct_Cost_Type,0))*$K9*INDEX(Act_Type_Repex_Splits,MATCH($I9,Act_Type_Repex,0),MATCH(AI$4,Mat_Type,0))*INDEX(Escalators!$I$44:$U$49,MATCH(AI$4,Escalators!$C$44:$C$49,0),MATCH(AI$5,Escalators!$I$43:$U$43,0))</f>
        <v>0</v>
      </c>
      <c r="AJ9" s="47">
        <f>INDEX(Direct_Cost_Splits_Network,MATCH($H9,RIN_Asset_Cat_Network,0),MATCH($AY$4,Direct_Cost_Type,0))*$K9*INDEX(Act_Type_Repex_Splits,MATCH($I9,Act_Type_Repex,0),MATCH(AJ$4,Mat_Type,0))*INDEX(Escalators!$I$44:$U$49,MATCH(AJ$4,Escalators!$C$44:$C$49,0),MATCH(AJ$5,Escalators!$I$43:$U$43,0))</f>
        <v>0</v>
      </c>
      <c r="AK9" s="47">
        <f>INDEX(Direct_Cost_Splits_Network,MATCH($H9,RIN_Asset_Cat_Network,0),MATCH($AY$4,Direct_Cost_Type,0))*$K9*INDEX(Act_Type_Repex_Splits,MATCH($I9,Act_Type_Repex,0),MATCH(AK$4,Mat_Type,0))*INDEX(Escalators!$I$44:$U$49,MATCH(AK$4,Escalators!$C$44:$C$49,0),MATCH(AK$5,Escalators!$I$43:$U$43,0))</f>
        <v>0</v>
      </c>
      <c r="AL9" s="47">
        <f>INDEX(Direct_Cost_Splits_Network,MATCH($H9,RIN_Asset_Cat_Network,0),MATCH($AY$4,Direct_Cost_Type,0))*$K9*INDEX(Act_Type_Repex_Splits,MATCH($I9,Act_Type_Repex,0),MATCH(AL$4,Mat_Type,0))*INDEX(Escalators!$I$44:$U$49,MATCH(AL$4,Escalators!$C$44:$C$49,0),MATCH(AL$5,Escalators!$I$43:$U$43,0))</f>
        <v>0</v>
      </c>
      <c r="AM9" s="47">
        <f t="shared" si="18"/>
        <v>0</v>
      </c>
      <c r="AN9" s="47">
        <f>INDEX(Direct_Cost_Splits_Network,MATCH($H9,RIN_Asset_Cat_Network,0),MATCH($AY$4,Direct_Cost_Type,0))*$L9*INDEX(Act_Type_Repex_Splits,MATCH($I9,Act_Type_Repex,0),MATCH(AN$4,Mat_Type,0))*INDEX(Escalators!$I$44:$U$49,MATCH(AN$4,Escalators!$C$44:$C$49,0),MATCH(AN$5,Escalators!$I$43:$U$43,0))</f>
        <v>0</v>
      </c>
      <c r="AO9" s="47">
        <f>INDEX(Direct_Cost_Splits_Network,MATCH($H9,RIN_Asset_Cat_Network,0),MATCH($AY$4,Direct_Cost_Type,0))*$L9*INDEX(Act_Type_Repex_Splits,MATCH($I9,Act_Type_Repex,0),MATCH(AO$4,Mat_Type,0))*INDEX(Escalators!$I$44:$U$49,MATCH(AO$4,Escalators!$C$44:$C$49,0),MATCH(AO$5,Escalators!$I$43:$U$43,0))</f>
        <v>0</v>
      </c>
      <c r="AP9" s="47">
        <f>INDEX(Direct_Cost_Splits_Network,MATCH($H9,RIN_Asset_Cat_Network,0),MATCH($AY$4,Direct_Cost_Type,0))*$L9*INDEX(Act_Type_Repex_Splits,MATCH($I9,Act_Type_Repex,0),MATCH(AP$4,Mat_Type,0))*INDEX(Escalators!$I$44:$U$49,MATCH(AP$4,Escalators!$C$44:$C$49,0),MATCH(AP$5,Escalators!$I$43:$U$43,0))</f>
        <v>0</v>
      </c>
      <c r="AQ9" s="47">
        <f>INDEX(Direct_Cost_Splits_Network,MATCH($H9,RIN_Asset_Cat_Network,0),MATCH($AY$4,Direct_Cost_Type,0))*$L9*INDEX(Act_Type_Repex_Splits,MATCH($I9,Act_Type_Repex,0),MATCH(AQ$4,Mat_Type,0))*INDEX(Escalators!$I$44:$U$49,MATCH(AQ$4,Escalators!$C$44:$C$49,0),MATCH(AQ$5,Escalators!$I$43:$U$43,0))</f>
        <v>0</v>
      </c>
      <c r="AR9" s="47">
        <f>INDEX(Direct_Cost_Splits_Network,MATCH($H9,RIN_Asset_Cat_Network,0),MATCH($AY$4,Direct_Cost_Type,0))*$L9*INDEX(Act_Type_Repex_Splits,MATCH($I9,Act_Type_Repex,0),MATCH(AR$4,Mat_Type,0))*INDEX(Escalators!$I$44:$U$49,MATCH(AR$4,Escalators!$C$44:$C$49,0),MATCH(AR$5,Escalators!$I$43:$U$43,0))</f>
        <v>0</v>
      </c>
      <c r="AS9" s="47">
        <f t="shared" si="19"/>
        <v>0</v>
      </c>
      <c r="AT9" s="47">
        <f>INDEX(Direct_Cost_Splits_Network,MATCH($H9,RIN_Asset_Cat_Network,0),MATCH($AY$4,Direct_Cost_Type,0))*$M9*INDEX(Act_Type_Repex_Splits,MATCH($I9,Act_Type_Repex,0),MATCH(AT$4,Mat_Type,0))*INDEX(Escalators!$I$44:$U$49,MATCH(AT$4,Escalators!$C$44:$C$49,0),MATCH(AT$5,Escalators!$I$43:$U$43,0))</f>
        <v>0</v>
      </c>
      <c r="AU9" s="47">
        <f>INDEX(Direct_Cost_Splits_Network,MATCH($H9,RIN_Asset_Cat_Network,0),MATCH($AY$4,Direct_Cost_Type,0))*$M9*INDEX(Act_Type_Repex_Splits,MATCH($I9,Act_Type_Repex,0),MATCH(AU$4,Mat_Type,0))*INDEX(Escalators!$I$44:$U$49,MATCH(AU$4,Escalators!$C$44:$C$49,0),MATCH(AU$5,Escalators!$I$43:$U$43,0))</f>
        <v>0</v>
      </c>
      <c r="AV9" s="47">
        <f>INDEX(Direct_Cost_Splits_Network,MATCH($H9,RIN_Asset_Cat_Network,0),MATCH($AY$4,Direct_Cost_Type,0))*$M9*INDEX(Act_Type_Repex_Splits,MATCH($I9,Act_Type_Repex,0),MATCH(AV$4,Mat_Type,0))*INDEX(Escalators!$I$44:$U$49,MATCH(AV$4,Escalators!$C$44:$C$49,0),MATCH(AV$5,Escalators!$I$43:$U$43,0))</f>
        <v>3.2984868246923775</v>
      </c>
      <c r="AW9" s="47">
        <f>INDEX(Direct_Cost_Splits_Network,MATCH($H9,RIN_Asset_Cat_Network,0),MATCH($AY$4,Direct_Cost_Type,0))*$M9*INDEX(Act_Type_Repex_Splits,MATCH($I9,Act_Type_Repex,0),MATCH(AW$4,Mat_Type,0))*INDEX(Escalators!$I$44:$U$49,MATCH(AW$4,Escalators!$C$44:$C$49,0),MATCH(AW$5,Escalators!$I$43:$U$43,0))</f>
        <v>0</v>
      </c>
      <c r="AX9" s="47">
        <f>INDEX(Direct_Cost_Splits_Network,MATCH($H9,RIN_Asset_Cat_Network,0),MATCH($AY$4,Direct_Cost_Type,0))*$M9*INDEX(Act_Type_Repex_Splits,MATCH($I9,Act_Type_Repex,0),MATCH(AX$4,Mat_Type,0))*INDEX(Escalators!$I$44:$U$49,MATCH(AX$4,Escalators!$C$44:$C$49,0),MATCH(AX$5,Escalators!$I$43:$U$43,0))</f>
        <v>7.696469257615548</v>
      </c>
      <c r="AY9" s="47">
        <f t="shared" si="20"/>
        <v>10.994956082307926</v>
      </c>
      <c r="AZ9" s="47">
        <f>INDEX(Direct_Cost_Splits_Network,MATCH($H9,RIN_Asset_Cat_Network,0),MATCH($BE$4,Direct_Cost_Type,0))*$N9*INDEX(Act_Type_Repex_Splits,MATCH($I9,Act_Type_Repex,0),MATCH(AZ$4,Mat_Type,0))*INDEX(Escalators!$I$44:$U$49,MATCH(AZ$4,Escalators!$C$44:$C$49,0),MATCH(AZ$5,Escalators!$I$43:$U$43,0))</f>
        <v>0</v>
      </c>
      <c r="BA9" s="47">
        <f>INDEX(Direct_Cost_Splits_Network,MATCH($H9,RIN_Asset_Cat_Network,0),MATCH($BE$4,Direct_Cost_Type,0))*$N9*INDEX(Act_Type_Repex_Splits,MATCH($I9,Act_Type_Repex,0),MATCH(BA$4,Mat_Type,0))*INDEX(Escalators!$I$44:$U$49,MATCH(BA$4,Escalators!$C$44:$C$49,0),MATCH(BA$5,Escalators!$I$43:$U$43,0))</f>
        <v>0</v>
      </c>
      <c r="BB9" s="47">
        <f>INDEX(Direct_Cost_Splits_Network,MATCH($H9,RIN_Asset_Cat_Network,0),MATCH($BE$4,Direct_Cost_Type,0))*$N9*INDEX(Act_Type_Repex_Splits,MATCH($I9,Act_Type_Repex,0),MATCH(BB$4,Mat_Type,0))*INDEX(Escalators!$I$44:$U$49,MATCH(BB$4,Escalators!$C$44:$C$49,0),MATCH(BB$5,Escalators!$I$43:$U$43,0))</f>
        <v>3.2984868246923775</v>
      </c>
      <c r="BC9" s="47">
        <f>INDEX(Direct_Cost_Splits_Network,MATCH($H9,RIN_Asset_Cat_Network,0),MATCH($BE$4,Direct_Cost_Type,0))*$N9*INDEX(Act_Type_Repex_Splits,MATCH($I9,Act_Type_Repex,0),MATCH(BC$4,Mat_Type,0))*INDEX(Escalators!$I$44:$U$49,MATCH(BC$4,Escalators!$C$44:$C$49,0),MATCH(BC$5,Escalators!$I$43:$U$43,0))</f>
        <v>0</v>
      </c>
      <c r="BD9" s="47">
        <f>INDEX(Direct_Cost_Splits_Network,MATCH($H9,RIN_Asset_Cat_Network,0),MATCH($BE$4,Direct_Cost_Type,0))*$N9*INDEX(Act_Type_Repex_Splits,MATCH($I9,Act_Type_Repex,0),MATCH(BD$4,Mat_Type,0))*INDEX(Escalators!$I$44:$U$49,MATCH(BD$4,Escalators!$C$44:$C$49,0),MATCH(BD$5,Escalators!$I$43:$U$43,0))</f>
        <v>7.696469257615548</v>
      </c>
      <c r="BE9" s="47">
        <f t="shared" si="21"/>
        <v>10.994956082307926</v>
      </c>
      <c r="BF9" s="47">
        <f>INDEX(Direct_Cost_Splits_Network,MATCH($H9,RIN_Asset_Cat_Network,0),MATCH($BK$4,Direct_Cost_Type,0))*$O9*INDEX(Act_Type_Repex_Splits,MATCH($I9,Act_Type_Repex,0),MATCH(BF$4,Mat_Type,0))*INDEX(Escalators!$I$44:$U$49,MATCH(BF$4,Escalators!$C$44:$C$49,0),MATCH(BF$5,Escalators!$I$43:$U$43,0))</f>
        <v>0</v>
      </c>
      <c r="BG9" s="47">
        <f>INDEX(Direct_Cost_Splits_Network,MATCH($H9,RIN_Asset_Cat_Network,0),MATCH($BK$4,Direct_Cost_Type,0))*$O9*INDEX(Act_Type_Repex_Splits,MATCH($I9,Act_Type_Repex,0),MATCH(BG$4,Mat_Type,0))*INDEX(Escalators!$I$44:$U$49,MATCH(BG$4,Escalators!$C$44:$C$49,0),MATCH(BG$5,Escalators!$I$43:$U$43,0))</f>
        <v>0</v>
      </c>
      <c r="BH9" s="47">
        <f>INDEX(Direct_Cost_Splits_Network,MATCH($H9,RIN_Asset_Cat_Network,0),MATCH($BK$4,Direct_Cost_Type,0))*$O9*INDEX(Act_Type_Repex_Splits,MATCH($I9,Act_Type_Repex,0),MATCH(BH$4,Mat_Type,0))*INDEX(Escalators!$I$44:$U$49,MATCH(BH$4,Escalators!$C$44:$C$49,0),MATCH(BH$5,Escalators!$I$43:$U$43,0))</f>
        <v>3.2984868246923775</v>
      </c>
      <c r="BI9" s="47">
        <f>INDEX(Direct_Cost_Splits_Network,MATCH($H9,RIN_Asset_Cat_Network,0),MATCH($BK$4,Direct_Cost_Type,0))*$O9*INDEX(Act_Type_Repex_Splits,MATCH($I9,Act_Type_Repex,0),MATCH(BI$4,Mat_Type,0))*INDEX(Escalators!$I$44:$U$49,MATCH(BI$4,Escalators!$C$44:$C$49,0),MATCH(BI$5,Escalators!$I$43:$U$43,0))</f>
        <v>0</v>
      </c>
      <c r="BJ9" s="47">
        <f>INDEX(Direct_Cost_Splits_Network,MATCH($H9,RIN_Asset_Cat_Network,0),MATCH($BK$4,Direct_Cost_Type,0))*$O9*INDEX(Act_Type_Repex_Splits,MATCH($I9,Act_Type_Repex,0),MATCH(BJ$4,Mat_Type,0))*INDEX(Escalators!$I$44:$U$49,MATCH(BJ$4,Escalators!$C$44:$C$49,0),MATCH(BJ$5,Escalators!$I$43:$U$43,0))</f>
        <v>7.696469257615548</v>
      </c>
      <c r="BK9" s="47">
        <f t="shared" si="22"/>
        <v>10.994956082307926</v>
      </c>
      <c r="BL9" s="47">
        <f>INDEX(Direct_Cost_Splits_Network,MATCH($H9,RIN_Asset_Cat_Network,0),MATCH($BQ$4,Direct_Cost_Type,0))*$P9*INDEX(Act_Type_Repex_Splits,MATCH($I9,Act_Type_Repex,0),MATCH(BL$4,Mat_Type,0))*INDEX(Escalators!$I$44:$U$49,MATCH(BL$4,Escalators!$C$44:$C$49,0),MATCH(BL$5,Escalators!$I$43:$U$43,0))</f>
        <v>0</v>
      </c>
      <c r="BM9" s="47">
        <f>INDEX(Direct_Cost_Splits_Network,MATCH($H9,RIN_Asset_Cat_Network,0),MATCH($BQ$4,Direct_Cost_Type,0))*$P9*INDEX(Act_Type_Repex_Splits,MATCH($I9,Act_Type_Repex,0),MATCH(BM$4,Mat_Type,0))*INDEX(Escalators!$I$44:$U$49,MATCH(BM$4,Escalators!$C$44:$C$49,0),MATCH(BM$5,Escalators!$I$43:$U$43,0))</f>
        <v>0</v>
      </c>
      <c r="BN9" s="47">
        <f>INDEX(Direct_Cost_Splits_Network,MATCH($H9,RIN_Asset_Cat_Network,0),MATCH($BQ$4,Direct_Cost_Type,0))*$P9*INDEX(Act_Type_Repex_Splits,MATCH($I9,Act_Type_Repex,0),MATCH(BN$4,Mat_Type,0))*INDEX(Escalators!$I$44:$U$49,MATCH(BN$4,Escalators!$C$44:$C$49,0),MATCH(BN$5,Escalators!$I$43:$U$43,0))</f>
        <v>3.2984868246923775</v>
      </c>
      <c r="BO9" s="47">
        <f>INDEX(Direct_Cost_Splits_Network,MATCH($H9,RIN_Asset_Cat_Network,0),MATCH($BQ$4,Direct_Cost_Type,0))*$P9*INDEX(Act_Type_Repex_Splits,MATCH($I9,Act_Type_Repex,0),MATCH(BO$4,Mat_Type,0))*INDEX(Escalators!$I$44:$U$49,MATCH(BO$4,Escalators!$C$44:$C$49,0),MATCH(BO$5,Escalators!$I$43:$U$43,0))</f>
        <v>0</v>
      </c>
      <c r="BP9" s="47">
        <f>INDEX(Direct_Cost_Splits_Network,MATCH($H9,RIN_Asset_Cat_Network,0),MATCH($BQ$4,Direct_Cost_Type,0))*$P9*INDEX(Act_Type_Repex_Splits,MATCH($I9,Act_Type_Repex,0),MATCH(BP$4,Mat_Type,0))*INDEX(Escalators!$I$44:$U$49,MATCH(BP$4,Escalators!$C$44:$C$49,0),MATCH(BP$5,Escalators!$I$43:$U$43,0))</f>
        <v>7.696469257615548</v>
      </c>
      <c r="BQ9" s="47">
        <f t="shared" si="23"/>
        <v>10.994956082307926</v>
      </c>
      <c r="BR9" s="47">
        <f>INDEX(Direct_Cost_Splits_Network,MATCH($H9,RIN_Asset_Cat_Network,0),MATCH($BW$4,Direct_Cost_Type,0))*$Q9*INDEX(Act_Type_Repex_Splits,MATCH($I9,Act_Type_Repex,0),MATCH(BR$4,Mat_Type,0))*INDEX(Escalators!$I$44:$U$49,MATCH(BR$4,Escalators!$C$44:$C$49,0),MATCH(BR$5,Escalators!$I$43:$U$43,0))</f>
        <v>0</v>
      </c>
      <c r="BS9" s="47">
        <f>INDEX(Direct_Cost_Splits_Network,MATCH($H9,RIN_Asset_Cat_Network,0),MATCH($BW$4,Direct_Cost_Type,0))*$Q9*INDEX(Act_Type_Repex_Splits,MATCH($I9,Act_Type_Repex,0),MATCH(BS$4,Mat_Type,0))*INDEX(Escalators!$I$44:$U$49,MATCH(BS$4,Escalators!$C$44:$C$49,0),MATCH(BS$5,Escalators!$I$43:$U$43,0))</f>
        <v>0</v>
      </c>
      <c r="BT9" s="47">
        <f>INDEX(Direct_Cost_Splits_Network,MATCH($H9,RIN_Asset_Cat_Network,0),MATCH($BW$4,Direct_Cost_Type,0))*$Q9*INDEX(Act_Type_Repex_Splits,MATCH($I9,Act_Type_Repex,0),MATCH(BT$4,Mat_Type,0))*INDEX(Escalators!$I$44:$U$49,MATCH(BT$4,Escalators!$C$44:$C$49,0),MATCH(BT$5,Escalators!$I$43:$U$43,0))</f>
        <v>3.2984868246923775</v>
      </c>
      <c r="BU9" s="47">
        <f>INDEX(Direct_Cost_Splits_Network,MATCH($H9,RIN_Asset_Cat_Network,0),MATCH($BW$4,Direct_Cost_Type,0))*$Q9*INDEX(Act_Type_Repex_Splits,MATCH($I9,Act_Type_Repex,0),MATCH(BU$4,Mat_Type,0))*INDEX(Escalators!$I$44:$U$49,MATCH(BU$4,Escalators!$C$44:$C$49,0),MATCH(BU$5,Escalators!$I$43:$U$43,0))</f>
        <v>0</v>
      </c>
      <c r="BV9" s="47">
        <f>INDEX(Direct_Cost_Splits_Network,MATCH($H9,RIN_Asset_Cat_Network,0),MATCH($BW$4,Direct_Cost_Type,0))*$Q9*INDEX(Act_Type_Repex_Splits,MATCH($I9,Act_Type_Repex,0),MATCH(BV$4,Mat_Type,0))*INDEX(Escalators!$I$44:$U$49,MATCH(BV$4,Escalators!$C$44:$C$49,0),MATCH(BV$5,Escalators!$I$43:$U$43,0))</f>
        <v>7.696469257615548</v>
      </c>
      <c r="BW9" s="47">
        <f t="shared" si="24"/>
        <v>10.994956082307926</v>
      </c>
      <c r="BY9" s="47">
        <f>INDEX(Direct_Cost_Splits_Network,MATCH($H9,RIN_Asset_Cat_Network,0),MATCH($BY$4,Direct_Cost_Type,0))*J9*HLOOKUP(BY$5,Escalators!$I$25:$U$30,6,FALSE)</f>
        <v>0</v>
      </c>
      <c r="BZ9" s="47">
        <f>INDEX(Direct_Cost_Splits_Network,MATCH($H9,RIN_Asset_Cat_Network,0),MATCH($BY$4,Direct_Cost_Type,0))*K9*HLOOKUP(BZ$5,Escalators!$I$25:$U$30,6,FALSE)</f>
        <v>0</v>
      </c>
      <c r="CA9" s="47">
        <f>INDEX(Direct_Cost_Splits_Network,MATCH($H9,RIN_Asset_Cat_Network,0),MATCH($BY$4,Direct_Cost_Type,0))*L9*HLOOKUP(CA$5,Escalators!$I$25:$U$30,6,FALSE)</f>
        <v>0</v>
      </c>
      <c r="CB9" s="47">
        <f>INDEX(Direct_Cost_Splits_Network,MATCH($H9,RIN_Asset_Cat_Network,0),MATCH($BY$4,Direct_Cost_Type,0))*M9*HLOOKUP(CB$5,Escalators!$I$25:$U$30,6,FALSE)</f>
        <v>30.426461312570773</v>
      </c>
      <c r="CC9" s="47">
        <f>INDEX(Direct_Cost_Splits_Network,MATCH($H9,RIN_Asset_Cat_Network,0),MATCH($BY$4,Direct_Cost_Type,0))*N9*HLOOKUP(CC$5,Escalators!$I$25:$U$30,6,FALSE)</f>
        <v>30.738641742388509</v>
      </c>
      <c r="CD9" s="47">
        <f>INDEX(Direct_Cost_Splits_Network,MATCH($H9,RIN_Asset_Cat_Network,0),MATCH($BY$4,Direct_Cost_Type,0))*O9*HLOOKUP(CD$5,Escalators!$I$25:$U$30,6,FALSE)</f>
        <v>31.069508945476436</v>
      </c>
      <c r="CE9" s="47">
        <f>INDEX(Direct_Cost_Splits_Network,MATCH($H9,RIN_Asset_Cat_Network,0),MATCH($BY$4,Direct_Cost_Type,0))*P9*HLOOKUP(CE$5,Escalators!$I$25:$U$30,6,FALSE)</f>
        <v>31.363279207252781</v>
      </c>
      <c r="CF9" s="47">
        <f>INDEX(Direct_Cost_Splits_Network,MATCH($H9,RIN_Asset_Cat_Network,0),MATCH($BY$4,Direct_Cost_Type,0))*Q9*HLOOKUP(CF$5,Escalators!$I$25:$U$30,6,FALSE)</f>
        <v>31.639276064276604</v>
      </c>
      <c r="CH9" s="83">
        <f t="shared" si="8"/>
        <v>0</v>
      </c>
      <c r="CI9" s="83">
        <f t="shared" si="8"/>
        <v>0</v>
      </c>
      <c r="CJ9" s="83">
        <f t="shared" si="8"/>
        <v>0</v>
      </c>
      <c r="CK9" s="83">
        <f t="shared" si="8"/>
        <v>4.5581575923782633</v>
      </c>
      <c r="CL9" s="83">
        <f t="shared" si="8"/>
        <v>4.5581575923782633</v>
      </c>
      <c r="CM9" s="83">
        <f t="shared" si="8"/>
        <v>4.5581575923782633</v>
      </c>
      <c r="CN9" s="83">
        <f t="shared" si="8"/>
        <v>4.5581575923782633</v>
      </c>
      <c r="CO9" s="83">
        <f t="shared" si="8"/>
        <v>4.5581575923782633</v>
      </c>
      <c r="CQ9" s="47">
        <f t="shared" si="9"/>
        <v>0</v>
      </c>
      <c r="CR9" s="47">
        <f t="shared" si="10"/>
        <v>0</v>
      </c>
      <c r="CS9" s="47">
        <f t="shared" si="11"/>
        <v>0</v>
      </c>
      <c r="CT9" s="47">
        <f t="shared" si="12"/>
        <v>51.137275026832533</v>
      </c>
      <c r="CU9" s="47">
        <f t="shared" si="13"/>
        <v>51.502374295902875</v>
      </c>
      <c r="CV9" s="47">
        <f t="shared" si="14"/>
        <v>51.88932800109599</v>
      </c>
      <c r="CW9" s="47">
        <f t="shared" si="15"/>
        <v>52.232896327630002</v>
      </c>
      <c r="CX9" s="47">
        <f t="shared" si="16"/>
        <v>52.555678414975901</v>
      </c>
      <c r="CZ9" s="39"/>
      <c r="DA9" s="39"/>
      <c r="DB9" s="39"/>
      <c r="DC9" s="39"/>
      <c r="DD9" s="39"/>
      <c r="DE9" s="39"/>
    </row>
    <row r="10" spans="2:109" x14ac:dyDescent="0.3">
      <c r="B10" s="7"/>
      <c r="C10" s="7"/>
      <c r="D10" s="7"/>
      <c r="E10" s="7" t="s">
        <v>45</v>
      </c>
      <c r="F10" s="7" t="s">
        <v>55</v>
      </c>
      <c r="G10" s="7" t="s">
        <v>150</v>
      </c>
      <c r="H10" s="7" t="s">
        <v>5</v>
      </c>
      <c r="I10" s="7" t="s">
        <v>209</v>
      </c>
      <c r="J10" s="45"/>
      <c r="K10" s="45"/>
      <c r="L10" s="45"/>
      <c r="M10" s="45"/>
      <c r="N10" s="45"/>
      <c r="O10" s="45"/>
      <c r="P10" s="45"/>
      <c r="Q10" s="45"/>
      <c r="S10" s="47"/>
      <c r="T10" s="47"/>
      <c r="U10" s="47"/>
      <c r="V10" s="47"/>
      <c r="W10" s="47"/>
      <c r="X10" s="47"/>
      <c r="Y10" s="47"/>
      <c r="Z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Y10" s="47"/>
      <c r="BZ10" s="47"/>
      <c r="CA10" s="47"/>
      <c r="CB10" s="47"/>
      <c r="CC10" s="47"/>
      <c r="CD10" s="47"/>
      <c r="CE10" s="47"/>
      <c r="CF10" s="47"/>
      <c r="CH10" s="83"/>
      <c r="CI10" s="83"/>
      <c r="CJ10" s="83"/>
      <c r="CK10" s="83"/>
      <c r="CL10" s="83"/>
      <c r="CM10" s="83"/>
      <c r="CN10" s="83"/>
      <c r="CO10" s="83"/>
      <c r="CQ10" s="47">
        <f t="shared" si="9"/>
        <v>0</v>
      </c>
      <c r="CR10" s="47">
        <f t="shared" si="10"/>
        <v>0</v>
      </c>
      <c r="CS10" s="47">
        <f t="shared" si="11"/>
        <v>0</v>
      </c>
      <c r="CT10" s="47">
        <f t="shared" si="12"/>
        <v>0</v>
      </c>
      <c r="CU10" s="47">
        <f t="shared" si="13"/>
        <v>0</v>
      </c>
      <c r="CV10" s="47">
        <f t="shared" si="14"/>
        <v>0</v>
      </c>
      <c r="CW10" s="47">
        <f t="shared" si="15"/>
        <v>0</v>
      </c>
      <c r="CX10" s="47">
        <f t="shared" si="16"/>
        <v>0</v>
      </c>
      <c r="CZ10" s="39"/>
      <c r="DA10" s="39"/>
      <c r="DB10" s="39"/>
      <c r="DC10" s="39"/>
      <c r="DD10" s="39"/>
      <c r="DE10" s="39"/>
    </row>
    <row r="11" spans="2:109" x14ac:dyDescent="0.3">
      <c r="B11" s="7"/>
      <c r="C11" s="7"/>
      <c r="D11" s="7"/>
      <c r="E11" s="7"/>
      <c r="F11" s="7"/>
      <c r="G11" s="7"/>
      <c r="H11" s="7"/>
      <c r="I11" s="7"/>
      <c r="J11" s="45"/>
      <c r="K11" s="45"/>
      <c r="L11" s="45"/>
      <c r="M11" s="45"/>
      <c r="N11" s="45"/>
      <c r="O11" s="45"/>
      <c r="P11" s="45"/>
      <c r="Q11" s="45"/>
      <c r="S11" s="47"/>
      <c r="T11" s="47"/>
      <c r="U11" s="47"/>
      <c r="V11" s="47"/>
      <c r="W11" s="47"/>
      <c r="X11" s="47"/>
      <c r="Y11" s="47"/>
      <c r="Z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Y11" s="47"/>
      <c r="BZ11" s="47"/>
      <c r="CA11" s="47"/>
      <c r="CB11" s="47"/>
      <c r="CC11" s="47"/>
      <c r="CD11" s="47"/>
      <c r="CE11" s="47"/>
      <c r="CF11" s="47"/>
      <c r="CH11" s="83"/>
      <c r="CI11" s="83"/>
      <c r="CJ11" s="83"/>
      <c r="CK11" s="83"/>
      <c r="CL11" s="83"/>
      <c r="CM11" s="83"/>
      <c r="CN11" s="83"/>
      <c r="CO11" s="83"/>
      <c r="CQ11" s="47">
        <f t="shared" si="9"/>
        <v>0</v>
      </c>
      <c r="CR11" s="47">
        <f t="shared" si="10"/>
        <v>0</v>
      </c>
      <c r="CS11" s="47">
        <f t="shared" si="11"/>
        <v>0</v>
      </c>
      <c r="CT11" s="47">
        <f t="shared" si="12"/>
        <v>0</v>
      </c>
      <c r="CU11" s="47">
        <f t="shared" si="13"/>
        <v>0</v>
      </c>
      <c r="CV11" s="47">
        <f t="shared" si="14"/>
        <v>0</v>
      </c>
      <c r="CW11" s="47">
        <f t="shared" si="15"/>
        <v>0</v>
      </c>
      <c r="CX11" s="47">
        <f t="shared" si="16"/>
        <v>0</v>
      </c>
      <c r="CZ11" s="39"/>
      <c r="DA11" s="39"/>
      <c r="DB11" s="39"/>
      <c r="DC11" s="39"/>
      <c r="DD11" s="39"/>
      <c r="DE11" s="39"/>
    </row>
    <row r="12" spans="2:109" x14ac:dyDescent="0.3">
      <c r="B12" s="7"/>
      <c r="C12" s="7"/>
      <c r="D12" s="7"/>
      <c r="E12" s="7"/>
      <c r="F12" s="7"/>
      <c r="G12" s="7"/>
      <c r="H12" s="7"/>
      <c r="I12" s="7"/>
      <c r="J12" s="45"/>
      <c r="K12" s="45"/>
      <c r="L12" s="45"/>
      <c r="M12" s="45"/>
      <c r="N12" s="45"/>
      <c r="O12" s="45"/>
      <c r="P12" s="45"/>
      <c r="Q12" s="45"/>
      <c r="S12" s="47"/>
      <c r="T12" s="47"/>
      <c r="U12" s="47"/>
      <c r="V12" s="47"/>
      <c r="W12" s="47"/>
      <c r="X12" s="47"/>
      <c r="Y12" s="47"/>
      <c r="Z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Y12" s="47"/>
      <c r="BZ12" s="47"/>
      <c r="CA12" s="47"/>
      <c r="CB12" s="47"/>
      <c r="CC12" s="47"/>
      <c r="CD12" s="47"/>
      <c r="CE12" s="47"/>
      <c r="CF12" s="47"/>
      <c r="CH12" s="83"/>
      <c r="CI12" s="83"/>
      <c r="CJ12" s="83"/>
      <c r="CK12" s="83"/>
      <c r="CL12" s="83"/>
      <c r="CM12" s="83"/>
      <c r="CN12" s="83"/>
      <c r="CO12" s="83"/>
      <c r="CQ12" s="47">
        <f t="shared" ref="CQ12:CQ36" si="25">S12+AG12+BY12+CH12</f>
        <v>0</v>
      </c>
      <c r="CR12" s="47">
        <f t="shared" ref="CR12:CR36" si="26">T12+AM12+BZ12+CI12</f>
        <v>0</v>
      </c>
      <c r="CS12" s="47">
        <f t="shared" ref="CS12:CS36" si="27">U12+AS12+CA12+CJ12</f>
        <v>0</v>
      </c>
      <c r="CT12" s="47">
        <f t="shared" ref="CT12:CT36" si="28">V12+AY12+CB12+CK12</f>
        <v>0</v>
      </c>
      <c r="CU12" s="47">
        <f t="shared" ref="CU12:CU36" si="29">W12+BE12+CC12+CL12</f>
        <v>0</v>
      </c>
      <c r="CV12" s="47">
        <f t="shared" ref="CV12:CV36" si="30">X12+BK12+CD12+CM12</f>
        <v>0</v>
      </c>
      <c r="CW12" s="47">
        <f t="shared" ref="CW12:CW36" si="31">Y12+BQ12+CE12+CN12</f>
        <v>0</v>
      </c>
      <c r="CX12" s="47">
        <f t="shared" ref="CX12:CX36" si="32">Z12+BW12+CF12+CO12</f>
        <v>0</v>
      </c>
      <c r="CZ12" s="39"/>
      <c r="DA12" s="39"/>
      <c r="DB12" s="39"/>
      <c r="DC12" s="39"/>
      <c r="DD12" s="39"/>
      <c r="DE12" s="39"/>
    </row>
    <row r="13" spans="2:109" x14ac:dyDescent="0.3">
      <c r="B13" s="7"/>
      <c r="C13" s="7"/>
      <c r="D13" s="7"/>
      <c r="E13" s="7"/>
      <c r="F13" s="7"/>
      <c r="G13" s="7"/>
      <c r="H13" s="7"/>
      <c r="I13" s="7"/>
      <c r="J13" s="45"/>
      <c r="K13" s="45"/>
      <c r="L13" s="45"/>
      <c r="M13" s="45"/>
      <c r="N13" s="45"/>
      <c r="O13" s="45"/>
      <c r="P13" s="45"/>
      <c r="Q13" s="45"/>
      <c r="S13" s="47"/>
      <c r="T13" s="47"/>
      <c r="U13" s="47"/>
      <c r="V13" s="47"/>
      <c r="W13" s="47"/>
      <c r="X13" s="47"/>
      <c r="Y13" s="47"/>
      <c r="Z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Y13" s="47"/>
      <c r="BZ13" s="47"/>
      <c r="CA13" s="47"/>
      <c r="CB13" s="47"/>
      <c r="CC13" s="47"/>
      <c r="CD13" s="47"/>
      <c r="CE13" s="47"/>
      <c r="CF13" s="47"/>
      <c r="CH13" s="83"/>
      <c r="CI13" s="83"/>
      <c r="CJ13" s="83"/>
      <c r="CK13" s="83"/>
      <c r="CL13" s="83"/>
      <c r="CM13" s="83"/>
      <c r="CN13" s="83"/>
      <c r="CO13" s="83"/>
      <c r="CQ13" s="47">
        <f t="shared" si="25"/>
        <v>0</v>
      </c>
      <c r="CR13" s="47">
        <f t="shared" si="26"/>
        <v>0</v>
      </c>
      <c r="CS13" s="47">
        <f t="shared" si="27"/>
        <v>0</v>
      </c>
      <c r="CT13" s="47">
        <f t="shared" si="28"/>
        <v>0</v>
      </c>
      <c r="CU13" s="47">
        <f t="shared" si="29"/>
        <v>0</v>
      </c>
      <c r="CV13" s="47">
        <f t="shared" si="30"/>
        <v>0</v>
      </c>
      <c r="CW13" s="47">
        <f t="shared" si="31"/>
        <v>0</v>
      </c>
      <c r="CX13" s="47">
        <f t="shared" si="32"/>
        <v>0</v>
      </c>
      <c r="CZ13" s="39"/>
      <c r="DA13" s="39"/>
      <c r="DB13" s="39"/>
      <c r="DC13" s="39"/>
      <c r="DD13" s="39"/>
      <c r="DE13" s="39"/>
    </row>
    <row r="14" spans="2:109" x14ac:dyDescent="0.3">
      <c r="B14" s="7"/>
      <c r="C14" s="7"/>
      <c r="D14" s="7"/>
      <c r="E14" s="7"/>
      <c r="F14" s="7"/>
      <c r="G14" s="7"/>
      <c r="H14" s="7"/>
      <c r="I14" s="7"/>
      <c r="J14" s="45"/>
      <c r="K14" s="45"/>
      <c r="L14" s="45"/>
      <c r="M14" s="45"/>
      <c r="N14" s="45"/>
      <c r="O14" s="45"/>
      <c r="P14" s="45"/>
      <c r="Q14" s="45"/>
      <c r="S14" s="47"/>
      <c r="T14" s="47"/>
      <c r="U14" s="47"/>
      <c r="V14" s="47"/>
      <c r="W14" s="47"/>
      <c r="X14" s="47"/>
      <c r="Y14" s="47"/>
      <c r="Z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Y14" s="47"/>
      <c r="BZ14" s="47"/>
      <c r="CA14" s="47"/>
      <c r="CB14" s="47"/>
      <c r="CC14" s="47"/>
      <c r="CD14" s="47"/>
      <c r="CE14" s="47"/>
      <c r="CF14" s="47"/>
      <c r="CH14" s="83"/>
      <c r="CI14" s="83"/>
      <c r="CJ14" s="83"/>
      <c r="CK14" s="83"/>
      <c r="CL14" s="83"/>
      <c r="CM14" s="83"/>
      <c r="CN14" s="83"/>
      <c r="CO14" s="83"/>
      <c r="CQ14" s="47">
        <f t="shared" si="25"/>
        <v>0</v>
      </c>
      <c r="CR14" s="47">
        <f t="shared" si="26"/>
        <v>0</v>
      </c>
      <c r="CS14" s="47">
        <f t="shared" si="27"/>
        <v>0</v>
      </c>
      <c r="CT14" s="47">
        <f t="shared" si="28"/>
        <v>0</v>
      </c>
      <c r="CU14" s="47">
        <f t="shared" si="29"/>
        <v>0</v>
      </c>
      <c r="CV14" s="47">
        <f t="shared" si="30"/>
        <v>0</v>
      </c>
      <c r="CW14" s="47">
        <f t="shared" si="31"/>
        <v>0</v>
      </c>
      <c r="CX14" s="47">
        <f t="shared" si="32"/>
        <v>0</v>
      </c>
      <c r="CZ14" s="39"/>
      <c r="DA14" s="39"/>
      <c r="DB14" s="39"/>
      <c r="DC14" s="39"/>
      <c r="DD14" s="39"/>
      <c r="DE14" s="39"/>
    </row>
    <row r="15" spans="2:109" x14ac:dyDescent="0.3">
      <c r="B15" s="7"/>
      <c r="C15" s="7"/>
      <c r="D15" s="7"/>
      <c r="E15" s="7"/>
      <c r="F15" s="7"/>
      <c r="G15" s="7"/>
      <c r="H15" s="7"/>
      <c r="I15" s="7"/>
      <c r="J15" s="45"/>
      <c r="K15" s="45"/>
      <c r="L15" s="45"/>
      <c r="M15" s="45"/>
      <c r="N15" s="45"/>
      <c r="O15" s="45"/>
      <c r="P15" s="45"/>
      <c r="Q15" s="45"/>
      <c r="S15" s="47"/>
      <c r="T15" s="47"/>
      <c r="U15" s="47"/>
      <c r="V15" s="47"/>
      <c r="W15" s="47"/>
      <c r="X15" s="47"/>
      <c r="Y15" s="47"/>
      <c r="Z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Y15" s="47"/>
      <c r="BZ15" s="47"/>
      <c r="CA15" s="47"/>
      <c r="CB15" s="47"/>
      <c r="CC15" s="47"/>
      <c r="CD15" s="47"/>
      <c r="CE15" s="47"/>
      <c r="CF15" s="47"/>
      <c r="CH15" s="83"/>
      <c r="CI15" s="83"/>
      <c r="CJ15" s="83"/>
      <c r="CK15" s="83"/>
      <c r="CL15" s="83"/>
      <c r="CM15" s="83"/>
      <c r="CN15" s="83"/>
      <c r="CO15" s="83"/>
      <c r="CQ15" s="47">
        <f t="shared" si="25"/>
        <v>0</v>
      </c>
      <c r="CR15" s="47">
        <f t="shared" si="26"/>
        <v>0</v>
      </c>
      <c r="CS15" s="47">
        <f t="shared" si="27"/>
        <v>0</v>
      </c>
      <c r="CT15" s="47">
        <f t="shared" si="28"/>
        <v>0</v>
      </c>
      <c r="CU15" s="47">
        <f t="shared" si="29"/>
        <v>0</v>
      </c>
      <c r="CV15" s="47">
        <f t="shared" si="30"/>
        <v>0</v>
      </c>
      <c r="CW15" s="47">
        <f t="shared" si="31"/>
        <v>0</v>
      </c>
      <c r="CX15" s="47">
        <f t="shared" si="32"/>
        <v>0</v>
      </c>
      <c r="CZ15" s="39"/>
      <c r="DA15" s="39"/>
      <c r="DB15" s="39"/>
      <c r="DC15" s="39"/>
      <c r="DD15" s="39"/>
      <c r="DE15" s="39"/>
    </row>
    <row r="16" spans="2:109"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Y16" s="47"/>
      <c r="BZ16" s="47"/>
      <c r="CA16" s="47"/>
      <c r="CB16" s="47"/>
      <c r="CC16" s="47"/>
      <c r="CD16" s="47"/>
      <c r="CE16" s="47"/>
      <c r="CF16" s="47"/>
      <c r="CH16" s="83"/>
      <c r="CI16" s="83"/>
      <c r="CJ16" s="83"/>
      <c r="CK16" s="83"/>
      <c r="CL16" s="83"/>
      <c r="CM16" s="83"/>
      <c r="CN16" s="83"/>
      <c r="CO16" s="83"/>
      <c r="CQ16" s="47">
        <f t="shared" si="25"/>
        <v>0</v>
      </c>
      <c r="CR16" s="47">
        <f t="shared" si="26"/>
        <v>0</v>
      </c>
      <c r="CS16" s="47">
        <f t="shared" si="27"/>
        <v>0</v>
      </c>
      <c r="CT16" s="47">
        <f t="shared" si="28"/>
        <v>0</v>
      </c>
      <c r="CU16" s="47">
        <f t="shared" si="29"/>
        <v>0</v>
      </c>
      <c r="CV16" s="47">
        <f t="shared" si="30"/>
        <v>0</v>
      </c>
      <c r="CW16" s="47">
        <f t="shared" si="31"/>
        <v>0</v>
      </c>
      <c r="CX16" s="47">
        <f t="shared" si="32"/>
        <v>0</v>
      </c>
      <c r="CZ16" s="39"/>
      <c r="DA16" s="39"/>
      <c r="DB16" s="39"/>
      <c r="DC16" s="39"/>
      <c r="DD16" s="39"/>
      <c r="DE16" s="39"/>
    </row>
    <row r="17" spans="2:109" x14ac:dyDescent="0.3">
      <c r="B17" s="7"/>
      <c r="C17" s="7"/>
      <c r="D17" s="7"/>
      <c r="E17" s="7"/>
      <c r="F17" s="7"/>
      <c r="G17" s="7"/>
      <c r="H17" s="7"/>
      <c r="I17" s="7"/>
      <c r="J17" s="45"/>
      <c r="K17" s="45"/>
      <c r="L17" s="45"/>
      <c r="M17" s="45"/>
      <c r="N17" s="45"/>
      <c r="O17" s="45"/>
      <c r="P17" s="45"/>
      <c r="Q17" s="45"/>
      <c r="S17" s="47"/>
      <c r="T17" s="47"/>
      <c r="U17" s="47"/>
      <c r="V17" s="47"/>
      <c r="W17" s="47"/>
      <c r="X17" s="47"/>
      <c r="Y17" s="47"/>
      <c r="Z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Y17" s="47"/>
      <c r="BZ17" s="47"/>
      <c r="CA17" s="47"/>
      <c r="CB17" s="47"/>
      <c r="CC17" s="47"/>
      <c r="CD17" s="47"/>
      <c r="CE17" s="47"/>
      <c r="CF17" s="47"/>
      <c r="CH17" s="83"/>
      <c r="CI17" s="83"/>
      <c r="CJ17" s="83"/>
      <c r="CK17" s="83"/>
      <c r="CL17" s="83"/>
      <c r="CM17" s="83"/>
      <c r="CN17" s="83"/>
      <c r="CO17" s="83"/>
      <c r="CQ17" s="47">
        <f t="shared" si="25"/>
        <v>0</v>
      </c>
      <c r="CR17" s="47">
        <f t="shared" si="26"/>
        <v>0</v>
      </c>
      <c r="CS17" s="47">
        <f t="shared" si="27"/>
        <v>0</v>
      </c>
      <c r="CT17" s="47">
        <f t="shared" si="28"/>
        <v>0</v>
      </c>
      <c r="CU17" s="47">
        <f t="shared" si="29"/>
        <v>0</v>
      </c>
      <c r="CV17" s="47">
        <f t="shared" si="30"/>
        <v>0</v>
      </c>
      <c r="CW17" s="47">
        <f t="shared" si="31"/>
        <v>0</v>
      </c>
      <c r="CX17" s="47">
        <f t="shared" si="32"/>
        <v>0</v>
      </c>
      <c r="CZ17" s="39"/>
      <c r="DA17" s="39"/>
      <c r="DB17" s="39"/>
      <c r="DC17" s="39"/>
      <c r="DD17" s="39"/>
      <c r="DE17" s="39"/>
    </row>
    <row r="18" spans="2:109" x14ac:dyDescent="0.3">
      <c r="B18" s="7"/>
      <c r="C18" s="7"/>
      <c r="D18" s="7"/>
      <c r="E18" s="7"/>
      <c r="F18" s="7"/>
      <c r="G18" s="7"/>
      <c r="H18" s="7"/>
      <c r="I18" s="7"/>
      <c r="J18" s="45"/>
      <c r="K18" s="45"/>
      <c r="L18" s="45"/>
      <c r="M18" s="45"/>
      <c r="N18" s="45"/>
      <c r="O18" s="45"/>
      <c r="P18" s="45"/>
      <c r="Q18" s="45"/>
      <c r="S18" s="47"/>
      <c r="T18" s="47"/>
      <c r="U18" s="47"/>
      <c r="V18" s="47"/>
      <c r="W18" s="47"/>
      <c r="X18" s="47"/>
      <c r="Y18" s="47"/>
      <c r="Z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Y18" s="47"/>
      <c r="BZ18" s="47"/>
      <c r="CA18" s="47"/>
      <c r="CB18" s="47"/>
      <c r="CC18" s="47"/>
      <c r="CD18" s="47"/>
      <c r="CE18" s="47"/>
      <c r="CF18" s="47"/>
      <c r="CH18" s="83"/>
      <c r="CI18" s="83"/>
      <c r="CJ18" s="83"/>
      <c r="CK18" s="83"/>
      <c r="CL18" s="83"/>
      <c r="CM18" s="83"/>
      <c r="CN18" s="83"/>
      <c r="CO18" s="83"/>
      <c r="CQ18" s="47">
        <f t="shared" si="25"/>
        <v>0</v>
      </c>
      <c r="CR18" s="47">
        <f t="shared" si="26"/>
        <v>0</v>
      </c>
      <c r="CS18" s="47">
        <f t="shared" si="27"/>
        <v>0</v>
      </c>
      <c r="CT18" s="47">
        <f t="shared" si="28"/>
        <v>0</v>
      </c>
      <c r="CU18" s="47">
        <f t="shared" si="29"/>
        <v>0</v>
      </c>
      <c r="CV18" s="47">
        <f t="shared" si="30"/>
        <v>0</v>
      </c>
      <c r="CW18" s="47">
        <f t="shared" si="31"/>
        <v>0</v>
      </c>
      <c r="CX18" s="47">
        <f t="shared" si="32"/>
        <v>0</v>
      </c>
      <c r="CZ18" s="39"/>
      <c r="DA18" s="39"/>
      <c r="DB18" s="39"/>
      <c r="DC18" s="39"/>
      <c r="DD18" s="39"/>
      <c r="DE18" s="39"/>
    </row>
    <row r="19" spans="2:109" x14ac:dyDescent="0.3">
      <c r="B19" s="7"/>
      <c r="C19" s="7"/>
      <c r="D19" s="7"/>
      <c r="E19" s="7"/>
      <c r="F19" s="7"/>
      <c r="G19" s="7"/>
      <c r="H19" s="7"/>
      <c r="I19" s="7"/>
      <c r="J19" s="45"/>
      <c r="K19" s="45"/>
      <c r="L19" s="45"/>
      <c r="M19" s="45"/>
      <c r="N19" s="45"/>
      <c r="O19" s="45"/>
      <c r="P19" s="45"/>
      <c r="Q19" s="45"/>
      <c r="S19" s="47"/>
      <c r="T19" s="47"/>
      <c r="U19" s="47"/>
      <c r="V19" s="47"/>
      <c r="W19" s="47"/>
      <c r="X19" s="47"/>
      <c r="Y19" s="47"/>
      <c r="Z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Y19" s="47"/>
      <c r="BZ19" s="47"/>
      <c r="CA19" s="47"/>
      <c r="CB19" s="47"/>
      <c r="CC19" s="47"/>
      <c r="CD19" s="47"/>
      <c r="CE19" s="47"/>
      <c r="CF19" s="47"/>
      <c r="CH19" s="83"/>
      <c r="CI19" s="83"/>
      <c r="CJ19" s="83"/>
      <c r="CK19" s="83"/>
      <c r="CL19" s="83"/>
      <c r="CM19" s="83"/>
      <c r="CN19" s="83"/>
      <c r="CO19" s="83"/>
      <c r="CQ19" s="47">
        <f t="shared" si="25"/>
        <v>0</v>
      </c>
      <c r="CR19" s="47">
        <f t="shared" si="26"/>
        <v>0</v>
      </c>
      <c r="CS19" s="47">
        <f t="shared" si="27"/>
        <v>0</v>
      </c>
      <c r="CT19" s="47">
        <f t="shared" si="28"/>
        <v>0</v>
      </c>
      <c r="CU19" s="47">
        <f t="shared" si="29"/>
        <v>0</v>
      </c>
      <c r="CV19" s="47">
        <f t="shared" si="30"/>
        <v>0</v>
      </c>
      <c r="CW19" s="47">
        <f t="shared" si="31"/>
        <v>0</v>
      </c>
      <c r="CX19" s="47">
        <f t="shared" si="32"/>
        <v>0</v>
      </c>
      <c r="CZ19" s="39"/>
      <c r="DA19" s="39"/>
      <c r="DB19" s="39"/>
      <c r="DC19" s="39"/>
      <c r="DD19" s="39"/>
      <c r="DE19" s="39"/>
    </row>
    <row r="20" spans="2:109" x14ac:dyDescent="0.3">
      <c r="B20" s="7"/>
      <c r="C20" s="7"/>
      <c r="D20" s="7"/>
      <c r="E20" s="7"/>
      <c r="F20" s="7"/>
      <c r="G20" s="7"/>
      <c r="H20" s="7"/>
      <c r="I20" s="7"/>
      <c r="J20" s="45"/>
      <c r="K20" s="45"/>
      <c r="L20" s="45"/>
      <c r="M20" s="45"/>
      <c r="N20" s="45"/>
      <c r="O20" s="45"/>
      <c r="P20" s="45"/>
      <c r="Q20" s="45"/>
      <c r="S20" s="47"/>
      <c r="T20" s="47"/>
      <c r="U20" s="47"/>
      <c r="V20" s="47"/>
      <c r="W20" s="47"/>
      <c r="X20" s="47"/>
      <c r="Y20" s="47"/>
      <c r="Z20" s="47"/>
      <c r="AB20" s="6"/>
      <c r="AC20" s="6"/>
      <c r="AD20" s="6"/>
      <c r="AE20" s="6"/>
      <c r="AF20" s="6"/>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Y20" s="47"/>
      <c r="BZ20" s="47"/>
      <c r="CA20" s="47"/>
      <c r="CB20" s="47"/>
      <c r="CC20" s="47"/>
      <c r="CD20" s="47"/>
      <c r="CE20" s="47"/>
      <c r="CF20" s="47"/>
      <c r="CH20" s="83"/>
      <c r="CI20" s="83"/>
      <c r="CJ20" s="83"/>
      <c r="CK20" s="83"/>
      <c r="CL20" s="83"/>
      <c r="CM20" s="83"/>
      <c r="CN20" s="83"/>
      <c r="CO20" s="83"/>
      <c r="CQ20" s="47">
        <f t="shared" si="25"/>
        <v>0</v>
      </c>
      <c r="CR20" s="47">
        <f t="shared" si="26"/>
        <v>0</v>
      </c>
      <c r="CS20" s="47">
        <f t="shared" si="27"/>
        <v>0</v>
      </c>
      <c r="CT20" s="47">
        <f t="shared" si="28"/>
        <v>0</v>
      </c>
      <c r="CU20" s="47">
        <f t="shared" si="29"/>
        <v>0</v>
      </c>
      <c r="CV20" s="47">
        <f t="shared" si="30"/>
        <v>0</v>
      </c>
      <c r="CW20" s="47">
        <f t="shared" si="31"/>
        <v>0</v>
      </c>
      <c r="CX20" s="47">
        <f t="shared" si="32"/>
        <v>0</v>
      </c>
      <c r="CZ20" s="39"/>
      <c r="DA20" s="39"/>
      <c r="DB20" s="39"/>
      <c r="DC20" s="39"/>
      <c r="DD20" s="39"/>
      <c r="DE20" s="39"/>
    </row>
    <row r="21" spans="2:109" x14ac:dyDescent="0.3">
      <c r="B21" s="7"/>
      <c r="C21" s="7"/>
      <c r="D21" s="7"/>
      <c r="E21" s="7"/>
      <c r="F21" s="7"/>
      <c r="G21" s="7"/>
      <c r="H21" s="7"/>
      <c r="I21" s="7"/>
      <c r="J21" s="45"/>
      <c r="K21" s="45"/>
      <c r="L21" s="45"/>
      <c r="M21" s="45"/>
      <c r="N21" s="45"/>
      <c r="O21" s="45"/>
      <c r="P21" s="45"/>
      <c r="Q21" s="45"/>
      <c r="S21" s="47"/>
      <c r="T21" s="47"/>
      <c r="U21" s="47"/>
      <c r="V21" s="47"/>
      <c r="W21" s="47"/>
      <c r="X21" s="47"/>
      <c r="Y21" s="47"/>
      <c r="Z21" s="47"/>
      <c r="AB21" s="6"/>
      <c r="AC21" s="6"/>
      <c r="AD21" s="6"/>
      <c r="AE21" s="6"/>
      <c r="AF21" s="6"/>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Y21" s="47"/>
      <c r="BZ21" s="47"/>
      <c r="CA21" s="47"/>
      <c r="CB21" s="47"/>
      <c r="CC21" s="47"/>
      <c r="CD21" s="47"/>
      <c r="CE21" s="47"/>
      <c r="CF21" s="47"/>
      <c r="CH21" s="83"/>
      <c r="CI21" s="83"/>
      <c r="CJ21" s="83"/>
      <c r="CK21" s="83"/>
      <c r="CL21" s="83"/>
      <c r="CM21" s="83"/>
      <c r="CN21" s="83"/>
      <c r="CO21" s="83"/>
      <c r="CQ21" s="47">
        <f t="shared" si="25"/>
        <v>0</v>
      </c>
      <c r="CR21" s="47">
        <f t="shared" si="26"/>
        <v>0</v>
      </c>
      <c r="CS21" s="47">
        <f t="shared" si="27"/>
        <v>0</v>
      </c>
      <c r="CT21" s="47">
        <f t="shared" si="28"/>
        <v>0</v>
      </c>
      <c r="CU21" s="47">
        <f t="shared" si="29"/>
        <v>0</v>
      </c>
      <c r="CV21" s="47">
        <f t="shared" si="30"/>
        <v>0</v>
      </c>
      <c r="CW21" s="47">
        <f t="shared" si="31"/>
        <v>0</v>
      </c>
      <c r="CX21" s="47">
        <f t="shared" si="32"/>
        <v>0</v>
      </c>
      <c r="CZ21" s="39"/>
      <c r="DA21" s="39"/>
      <c r="DB21" s="39"/>
      <c r="DC21" s="39"/>
      <c r="DD21" s="39"/>
      <c r="DE21" s="39"/>
    </row>
    <row r="22" spans="2:109"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6"/>
      <c r="AC22" s="6"/>
      <c r="AD22" s="6"/>
      <c r="AE22" s="6"/>
      <c r="AF22" s="6"/>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Y22" s="47"/>
      <c r="BZ22" s="47"/>
      <c r="CA22" s="47"/>
      <c r="CB22" s="47"/>
      <c r="CC22" s="47"/>
      <c r="CD22" s="47"/>
      <c r="CE22" s="47"/>
      <c r="CF22" s="47"/>
      <c r="CH22" s="83"/>
      <c r="CI22" s="83"/>
      <c r="CJ22" s="83"/>
      <c r="CK22" s="83"/>
      <c r="CL22" s="83"/>
      <c r="CM22" s="83"/>
      <c r="CN22" s="83"/>
      <c r="CO22" s="83"/>
      <c r="CQ22" s="47">
        <f t="shared" si="25"/>
        <v>0</v>
      </c>
      <c r="CR22" s="47">
        <f t="shared" si="26"/>
        <v>0</v>
      </c>
      <c r="CS22" s="47">
        <f t="shared" si="27"/>
        <v>0</v>
      </c>
      <c r="CT22" s="47">
        <f t="shared" si="28"/>
        <v>0</v>
      </c>
      <c r="CU22" s="47">
        <f t="shared" si="29"/>
        <v>0</v>
      </c>
      <c r="CV22" s="47">
        <f t="shared" si="30"/>
        <v>0</v>
      </c>
      <c r="CW22" s="47">
        <f t="shared" si="31"/>
        <v>0</v>
      </c>
      <c r="CX22" s="47">
        <f t="shared" si="32"/>
        <v>0</v>
      </c>
      <c r="CZ22" s="39"/>
    </row>
    <row r="23" spans="2:109"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6"/>
      <c r="AC23" s="6"/>
      <c r="AD23" s="6"/>
      <c r="AE23" s="6"/>
      <c r="AF23" s="6"/>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Y23" s="47"/>
      <c r="BZ23" s="47"/>
      <c r="CA23" s="47"/>
      <c r="CB23" s="47"/>
      <c r="CC23" s="47"/>
      <c r="CD23" s="47"/>
      <c r="CE23" s="47"/>
      <c r="CF23" s="47"/>
      <c r="CH23" s="83"/>
      <c r="CI23" s="83"/>
      <c r="CJ23" s="83"/>
      <c r="CK23" s="83"/>
      <c r="CL23" s="83"/>
      <c r="CM23" s="83"/>
      <c r="CN23" s="83"/>
      <c r="CO23" s="83"/>
      <c r="CQ23" s="47">
        <f t="shared" si="25"/>
        <v>0</v>
      </c>
      <c r="CR23" s="47">
        <f t="shared" si="26"/>
        <v>0</v>
      </c>
      <c r="CS23" s="47">
        <f t="shared" si="27"/>
        <v>0</v>
      </c>
      <c r="CT23" s="47">
        <f t="shared" si="28"/>
        <v>0</v>
      </c>
      <c r="CU23" s="47">
        <f t="shared" si="29"/>
        <v>0</v>
      </c>
      <c r="CV23" s="47">
        <f t="shared" si="30"/>
        <v>0</v>
      </c>
      <c r="CW23" s="47">
        <f t="shared" si="31"/>
        <v>0</v>
      </c>
      <c r="CX23" s="47">
        <f t="shared" si="32"/>
        <v>0</v>
      </c>
      <c r="CZ23" s="39"/>
    </row>
    <row r="24" spans="2:109"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6"/>
      <c r="AC24" s="6"/>
      <c r="AD24" s="6"/>
      <c r="AE24" s="6"/>
      <c r="AF24" s="6"/>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Y24" s="47"/>
      <c r="BZ24" s="47"/>
      <c r="CA24" s="47"/>
      <c r="CB24" s="47"/>
      <c r="CC24" s="47"/>
      <c r="CD24" s="47"/>
      <c r="CE24" s="47"/>
      <c r="CF24" s="47"/>
      <c r="CH24" s="83"/>
      <c r="CI24" s="83"/>
      <c r="CJ24" s="83"/>
      <c r="CK24" s="83"/>
      <c r="CL24" s="83"/>
      <c r="CM24" s="83"/>
      <c r="CN24" s="83"/>
      <c r="CO24" s="83"/>
      <c r="CQ24" s="47">
        <f t="shared" si="25"/>
        <v>0</v>
      </c>
      <c r="CR24" s="47">
        <f t="shared" si="26"/>
        <v>0</v>
      </c>
      <c r="CS24" s="47">
        <f t="shared" si="27"/>
        <v>0</v>
      </c>
      <c r="CT24" s="47">
        <f t="shared" si="28"/>
        <v>0</v>
      </c>
      <c r="CU24" s="47">
        <f t="shared" si="29"/>
        <v>0</v>
      </c>
      <c r="CV24" s="47">
        <f t="shared" si="30"/>
        <v>0</v>
      </c>
      <c r="CW24" s="47">
        <f t="shared" si="31"/>
        <v>0</v>
      </c>
      <c r="CX24" s="47">
        <f t="shared" si="32"/>
        <v>0</v>
      </c>
      <c r="CZ24" s="39"/>
    </row>
    <row r="25" spans="2:109"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6"/>
      <c r="AC25" s="6"/>
      <c r="AD25" s="6"/>
      <c r="AE25" s="6"/>
      <c r="AF25" s="6"/>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Y25" s="47"/>
      <c r="BZ25" s="47"/>
      <c r="CA25" s="47"/>
      <c r="CB25" s="47"/>
      <c r="CC25" s="47"/>
      <c r="CD25" s="47"/>
      <c r="CE25" s="47"/>
      <c r="CF25" s="47"/>
      <c r="CH25" s="83"/>
      <c r="CI25" s="83"/>
      <c r="CJ25" s="83"/>
      <c r="CK25" s="83"/>
      <c r="CL25" s="83"/>
      <c r="CM25" s="83"/>
      <c r="CN25" s="83"/>
      <c r="CO25" s="83"/>
      <c r="CQ25" s="47">
        <f t="shared" si="25"/>
        <v>0</v>
      </c>
      <c r="CR25" s="47">
        <f t="shared" si="26"/>
        <v>0</v>
      </c>
      <c r="CS25" s="47">
        <f t="shared" si="27"/>
        <v>0</v>
      </c>
      <c r="CT25" s="47">
        <f t="shared" si="28"/>
        <v>0</v>
      </c>
      <c r="CU25" s="47">
        <f t="shared" si="29"/>
        <v>0</v>
      </c>
      <c r="CV25" s="47">
        <f t="shared" si="30"/>
        <v>0</v>
      </c>
      <c r="CW25" s="47">
        <f t="shared" si="31"/>
        <v>0</v>
      </c>
      <c r="CX25" s="47">
        <f t="shared" si="32"/>
        <v>0</v>
      </c>
      <c r="CZ25" s="39"/>
    </row>
    <row r="26" spans="2:109"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6"/>
      <c r="AC26" s="6"/>
      <c r="AD26" s="6"/>
      <c r="AE26" s="6"/>
      <c r="AF26" s="6"/>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Y26" s="47"/>
      <c r="BZ26" s="47"/>
      <c r="CA26" s="47"/>
      <c r="CB26" s="47"/>
      <c r="CC26" s="47"/>
      <c r="CD26" s="47"/>
      <c r="CE26" s="47"/>
      <c r="CF26" s="47"/>
      <c r="CH26" s="83"/>
      <c r="CI26" s="83"/>
      <c r="CJ26" s="83"/>
      <c r="CK26" s="83"/>
      <c r="CL26" s="83"/>
      <c r="CM26" s="83"/>
      <c r="CN26" s="83"/>
      <c r="CO26" s="83"/>
      <c r="CQ26" s="47">
        <f t="shared" si="25"/>
        <v>0</v>
      </c>
      <c r="CR26" s="47">
        <f t="shared" si="26"/>
        <v>0</v>
      </c>
      <c r="CS26" s="47">
        <f t="shared" si="27"/>
        <v>0</v>
      </c>
      <c r="CT26" s="47">
        <f t="shared" si="28"/>
        <v>0</v>
      </c>
      <c r="CU26" s="47">
        <f t="shared" si="29"/>
        <v>0</v>
      </c>
      <c r="CV26" s="47">
        <f t="shared" si="30"/>
        <v>0</v>
      </c>
      <c r="CW26" s="47">
        <f t="shared" si="31"/>
        <v>0</v>
      </c>
      <c r="CX26" s="47">
        <f t="shared" si="32"/>
        <v>0</v>
      </c>
      <c r="CZ26" s="39"/>
    </row>
    <row r="27" spans="2:109"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6"/>
      <c r="AC27" s="6"/>
      <c r="AD27" s="6"/>
      <c r="AE27" s="6"/>
      <c r="AF27" s="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Y27" s="47"/>
      <c r="BZ27" s="47"/>
      <c r="CA27" s="47"/>
      <c r="CB27" s="47"/>
      <c r="CC27" s="47"/>
      <c r="CD27" s="47"/>
      <c r="CE27" s="47"/>
      <c r="CF27" s="47"/>
      <c r="CH27" s="83"/>
      <c r="CI27" s="83"/>
      <c r="CJ27" s="83"/>
      <c r="CK27" s="83"/>
      <c r="CL27" s="83"/>
      <c r="CM27" s="83"/>
      <c r="CN27" s="83"/>
      <c r="CO27" s="83"/>
      <c r="CQ27" s="47">
        <f t="shared" si="25"/>
        <v>0</v>
      </c>
      <c r="CR27" s="47">
        <f t="shared" si="26"/>
        <v>0</v>
      </c>
      <c r="CS27" s="47">
        <f t="shared" si="27"/>
        <v>0</v>
      </c>
      <c r="CT27" s="47">
        <f t="shared" si="28"/>
        <v>0</v>
      </c>
      <c r="CU27" s="47">
        <f t="shared" si="29"/>
        <v>0</v>
      </c>
      <c r="CV27" s="47">
        <f t="shared" si="30"/>
        <v>0</v>
      </c>
      <c r="CW27" s="47">
        <f t="shared" si="31"/>
        <v>0</v>
      </c>
      <c r="CX27" s="47">
        <f t="shared" si="32"/>
        <v>0</v>
      </c>
      <c r="CZ27" s="39"/>
    </row>
    <row r="28" spans="2:109"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6"/>
      <c r="AC28" s="6"/>
      <c r="AD28" s="6"/>
      <c r="AE28" s="6"/>
      <c r="AF28" s="6"/>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Y28" s="47"/>
      <c r="BZ28" s="47"/>
      <c r="CA28" s="47"/>
      <c r="CB28" s="47"/>
      <c r="CC28" s="47"/>
      <c r="CD28" s="47"/>
      <c r="CE28" s="47"/>
      <c r="CF28" s="47"/>
      <c r="CH28" s="47"/>
      <c r="CI28" s="47"/>
      <c r="CJ28" s="47"/>
      <c r="CK28" s="47"/>
      <c r="CL28" s="47"/>
      <c r="CM28" s="47"/>
      <c r="CN28" s="47"/>
      <c r="CO28" s="47"/>
      <c r="CQ28" s="47">
        <f t="shared" si="25"/>
        <v>0</v>
      </c>
      <c r="CR28" s="47">
        <f t="shared" si="26"/>
        <v>0</v>
      </c>
      <c r="CS28" s="47">
        <f t="shared" si="27"/>
        <v>0</v>
      </c>
      <c r="CT28" s="47">
        <f t="shared" si="28"/>
        <v>0</v>
      </c>
      <c r="CU28" s="47">
        <f t="shared" si="29"/>
        <v>0</v>
      </c>
      <c r="CV28" s="47">
        <f t="shared" si="30"/>
        <v>0</v>
      </c>
      <c r="CW28" s="47">
        <f t="shared" si="31"/>
        <v>0</v>
      </c>
      <c r="CX28" s="47">
        <f t="shared" si="32"/>
        <v>0</v>
      </c>
      <c r="CZ28" s="39"/>
    </row>
    <row r="29" spans="2:109"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6"/>
      <c r="AC29" s="6"/>
      <c r="AD29" s="6"/>
      <c r="AE29" s="6"/>
      <c r="AF29" s="6"/>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Y29" s="47"/>
      <c r="BZ29" s="47"/>
      <c r="CA29" s="47"/>
      <c r="CB29" s="47"/>
      <c r="CC29" s="47"/>
      <c r="CD29" s="47"/>
      <c r="CE29" s="47"/>
      <c r="CF29" s="47"/>
      <c r="CH29" s="47"/>
      <c r="CI29" s="47"/>
      <c r="CJ29" s="47"/>
      <c r="CK29" s="47"/>
      <c r="CL29" s="47"/>
      <c r="CM29" s="47"/>
      <c r="CN29" s="47"/>
      <c r="CO29" s="47"/>
      <c r="CQ29" s="47">
        <f t="shared" si="25"/>
        <v>0</v>
      </c>
      <c r="CR29" s="47">
        <f t="shared" si="26"/>
        <v>0</v>
      </c>
      <c r="CS29" s="47">
        <f t="shared" si="27"/>
        <v>0</v>
      </c>
      <c r="CT29" s="47">
        <f t="shared" si="28"/>
        <v>0</v>
      </c>
      <c r="CU29" s="47">
        <f t="shared" si="29"/>
        <v>0</v>
      </c>
      <c r="CV29" s="47">
        <f t="shared" si="30"/>
        <v>0</v>
      </c>
      <c r="CW29" s="47">
        <f t="shared" si="31"/>
        <v>0</v>
      </c>
      <c r="CX29" s="47">
        <f t="shared" si="32"/>
        <v>0</v>
      </c>
      <c r="CZ29" s="39"/>
    </row>
    <row r="30" spans="2:109"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Y30" s="47"/>
      <c r="BZ30" s="47"/>
      <c r="CA30" s="47"/>
      <c r="CB30" s="47"/>
      <c r="CC30" s="47"/>
      <c r="CD30" s="47"/>
      <c r="CE30" s="47"/>
      <c r="CF30" s="47"/>
      <c r="CH30" s="47"/>
      <c r="CI30" s="47"/>
      <c r="CJ30" s="47"/>
      <c r="CK30" s="47"/>
      <c r="CL30" s="47"/>
      <c r="CM30" s="47"/>
      <c r="CN30" s="47"/>
      <c r="CO30" s="47"/>
      <c r="CQ30" s="47">
        <f t="shared" si="25"/>
        <v>0</v>
      </c>
      <c r="CR30" s="47">
        <f t="shared" si="26"/>
        <v>0</v>
      </c>
      <c r="CS30" s="47">
        <f t="shared" si="27"/>
        <v>0</v>
      </c>
      <c r="CT30" s="47">
        <f t="shared" si="28"/>
        <v>0</v>
      </c>
      <c r="CU30" s="47">
        <f t="shared" si="29"/>
        <v>0</v>
      </c>
      <c r="CV30" s="47">
        <f t="shared" si="30"/>
        <v>0</v>
      </c>
      <c r="CW30" s="47">
        <f t="shared" si="31"/>
        <v>0</v>
      </c>
      <c r="CX30" s="47">
        <f t="shared" si="32"/>
        <v>0</v>
      </c>
      <c r="CZ30" s="39"/>
    </row>
    <row r="31" spans="2:109"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6"/>
      <c r="AC31" s="6"/>
      <c r="AD31" s="6"/>
      <c r="AE31" s="6"/>
      <c r="AF31" s="6"/>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Y31" s="47"/>
      <c r="BZ31" s="47"/>
      <c r="CA31" s="47"/>
      <c r="CB31" s="47"/>
      <c r="CC31" s="47"/>
      <c r="CD31" s="47"/>
      <c r="CE31" s="47"/>
      <c r="CF31" s="47"/>
      <c r="CH31" s="47"/>
      <c r="CI31" s="47"/>
      <c r="CJ31" s="47"/>
      <c r="CK31" s="47"/>
      <c r="CL31" s="47"/>
      <c r="CM31" s="47"/>
      <c r="CN31" s="47"/>
      <c r="CO31" s="47"/>
      <c r="CQ31" s="47">
        <f t="shared" si="25"/>
        <v>0</v>
      </c>
      <c r="CR31" s="47">
        <f t="shared" si="26"/>
        <v>0</v>
      </c>
      <c r="CS31" s="47">
        <f t="shared" si="27"/>
        <v>0</v>
      </c>
      <c r="CT31" s="47">
        <f t="shared" si="28"/>
        <v>0</v>
      </c>
      <c r="CU31" s="47">
        <f t="shared" si="29"/>
        <v>0</v>
      </c>
      <c r="CV31" s="47">
        <f t="shared" si="30"/>
        <v>0</v>
      </c>
      <c r="CW31" s="47">
        <f t="shared" si="31"/>
        <v>0</v>
      </c>
      <c r="CX31" s="47">
        <f t="shared" si="32"/>
        <v>0</v>
      </c>
      <c r="CZ31" s="39"/>
    </row>
    <row r="32" spans="2:109"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47">
        <f t="shared" si="25"/>
        <v>0</v>
      </c>
      <c r="CR32" s="47">
        <f t="shared" si="26"/>
        <v>0</v>
      </c>
      <c r="CS32" s="47">
        <f t="shared" si="27"/>
        <v>0</v>
      </c>
      <c r="CT32" s="47">
        <f t="shared" si="28"/>
        <v>0</v>
      </c>
      <c r="CU32" s="47">
        <f t="shared" si="29"/>
        <v>0</v>
      </c>
      <c r="CV32" s="47">
        <f t="shared" si="30"/>
        <v>0</v>
      </c>
      <c r="CW32" s="47">
        <f t="shared" si="31"/>
        <v>0</v>
      </c>
      <c r="CX32" s="47">
        <f t="shared" si="32"/>
        <v>0</v>
      </c>
      <c r="CZ32" s="39"/>
    </row>
    <row r="33" spans="2:104"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47">
        <f t="shared" si="25"/>
        <v>0</v>
      </c>
      <c r="CR33" s="47">
        <f t="shared" si="26"/>
        <v>0</v>
      </c>
      <c r="CS33" s="47">
        <f t="shared" si="27"/>
        <v>0</v>
      </c>
      <c r="CT33" s="47">
        <f t="shared" si="28"/>
        <v>0</v>
      </c>
      <c r="CU33" s="47">
        <f t="shared" si="29"/>
        <v>0</v>
      </c>
      <c r="CV33" s="47">
        <f t="shared" si="30"/>
        <v>0</v>
      </c>
      <c r="CW33" s="47">
        <f t="shared" si="31"/>
        <v>0</v>
      </c>
      <c r="CX33" s="47">
        <f t="shared" si="32"/>
        <v>0</v>
      </c>
      <c r="CZ33" s="39"/>
    </row>
    <row r="34" spans="2:104"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47">
        <f t="shared" si="25"/>
        <v>0</v>
      </c>
      <c r="CR34" s="47">
        <f t="shared" si="26"/>
        <v>0</v>
      </c>
      <c r="CS34" s="47">
        <f t="shared" si="27"/>
        <v>0</v>
      </c>
      <c r="CT34" s="47">
        <f t="shared" si="28"/>
        <v>0</v>
      </c>
      <c r="CU34" s="47">
        <f t="shared" si="29"/>
        <v>0</v>
      </c>
      <c r="CV34" s="47">
        <f t="shared" si="30"/>
        <v>0</v>
      </c>
      <c r="CW34" s="47">
        <f t="shared" si="31"/>
        <v>0</v>
      </c>
      <c r="CX34" s="47">
        <f t="shared" si="32"/>
        <v>0</v>
      </c>
      <c r="CZ34" s="39"/>
    </row>
    <row r="35" spans="2:104"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47">
        <f t="shared" si="25"/>
        <v>0</v>
      </c>
      <c r="CR35" s="47">
        <f t="shared" si="26"/>
        <v>0</v>
      </c>
      <c r="CS35" s="47">
        <f t="shared" si="27"/>
        <v>0</v>
      </c>
      <c r="CT35" s="47">
        <f t="shared" si="28"/>
        <v>0</v>
      </c>
      <c r="CU35" s="47">
        <f t="shared" si="29"/>
        <v>0</v>
      </c>
      <c r="CV35" s="47">
        <f t="shared" si="30"/>
        <v>0</v>
      </c>
      <c r="CW35" s="47">
        <f t="shared" si="31"/>
        <v>0</v>
      </c>
      <c r="CX35" s="47">
        <f t="shared" si="32"/>
        <v>0</v>
      </c>
      <c r="CZ35" s="39"/>
    </row>
    <row r="36" spans="2:104"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47">
        <f t="shared" si="25"/>
        <v>0</v>
      </c>
      <c r="CR36" s="47">
        <f t="shared" si="26"/>
        <v>0</v>
      </c>
      <c r="CS36" s="47">
        <f t="shared" si="27"/>
        <v>0</v>
      </c>
      <c r="CT36" s="47">
        <f t="shared" si="28"/>
        <v>0</v>
      </c>
      <c r="CU36" s="47">
        <f t="shared" si="29"/>
        <v>0</v>
      </c>
      <c r="CV36" s="47">
        <f t="shared" si="30"/>
        <v>0</v>
      </c>
      <c r="CW36" s="47">
        <f t="shared" si="31"/>
        <v>0</v>
      </c>
      <c r="CX36" s="47">
        <f t="shared" si="32"/>
        <v>0</v>
      </c>
      <c r="CZ36" s="39"/>
    </row>
    <row r="37" spans="2:104" x14ac:dyDescent="0.3">
      <c r="J37" s="48">
        <f t="shared" ref="J37:Z37" si="33">SUM(J6:J36)</f>
        <v>0</v>
      </c>
      <c r="K37" s="48">
        <f t="shared" si="33"/>
        <v>0</v>
      </c>
      <c r="L37" s="48">
        <f t="shared" si="33"/>
        <v>0</v>
      </c>
      <c r="M37" s="48">
        <f t="shared" si="33"/>
        <v>580</v>
      </c>
      <c r="N37" s="48">
        <f t="shared" si="33"/>
        <v>580</v>
      </c>
      <c r="O37" s="48">
        <f t="shared" si="33"/>
        <v>580</v>
      </c>
      <c r="P37" s="48">
        <f t="shared" si="33"/>
        <v>580</v>
      </c>
      <c r="Q37" s="48">
        <f t="shared" si="33"/>
        <v>580</v>
      </c>
      <c r="S37" s="48">
        <f t="shared" si="33"/>
        <v>0</v>
      </c>
      <c r="T37" s="48">
        <f t="shared" si="33"/>
        <v>0</v>
      </c>
      <c r="U37" s="48">
        <f t="shared" si="33"/>
        <v>0</v>
      </c>
      <c r="V37" s="48">
        <f t="shared" si="33"/>
        <v>59.829320459076577</v>
      </c>
      <c r="W37" s="48">
        <f t="shared" si="33"/>
        <v>60.443178994406857</v>
      </c>
      <c r="X37" s="48">
        <f t="shared" si="33"/>
        <v>61.093782418827004</v>
      </c>
      <c r="Y37" s="48">
        <f t="shared" si="33"/>
        <v>61.671439970015918</v>
      </c>
      <c r="Z37" s="48">
        <f t="shared" si="33"/>
        <v>62.214148641752047</v>
      </c>
      <c r="AB37" s="48"/>
      <c r="AC37" s="48"/>
      <c r="AD37" s="48"/>
      <c r="AE37" s="48"/>
      <c r="AF37" s="48"/>
      <c r="AG37" s="48">
        <f t="shared" ref="AG37:AN37" si="34">SUM(AG6:AG36)</f>
        <v>0</v>
      </c>
      <c r="AH37" s="48">
        <f t="shared" si="34"/>
        <v>0</v>
      </c>
      <c r="AI37" s="48">
        <f t="shared" si="34"/>
        <v>0</v>
      </c>
      <c r="AJ37" s="48">
        <f t="shared" si="34"/>
        <v>0</v>
      </c>
      <c r="AK37" s="48">
        <f t="shared" si="34"/>
        <v>0</v>
      </c>
      <c r="AL37" s="48">
        <f t="shared" si="34"/>
        <v>0</v>
      </c>
      <c r="AM37" s="48">
        <f t="shared" si="34"/>
        <v>0</v>
      </c>
      <c r="AN37" s="48">
        <f t="shared" si="34"/>
        <v>0</v>
      </c>
      <c r="AO37" s="48"/>
      <c r="AP37" s="48"/>
      <c r="AQ37" s="48"/>
      <c r="AR37" s="48"/>
      <c r="AS37" s="48">
        <f t="shared" ref="AS37:CX37" si="35">SUM(AS6:AS36)</f>
        <v>0</v>
      </c>
      <c r="AT37" s="48">
        <f t="shared" si="35"/>
        <v>0</v>
      </c>
      <c r="AU37" s="48">
        <f t="shared" si="35"/>
        <v>0</v>
      </c>
      <c r="AV37" s="48">
        <f t="shared" si="35"/>
        <v>38.262447166431578</v>
      </c>
      <c r="AW37" s="48">
        <f t="shared" si="35"/>
        <v>0</v>
      </c>
      <c r="AX37" s="48">
        <f t="shared" si="35"/>
        <v>89.279043388340355</v>
      </c>
      <c r="AY37" s="48">
        <f t="shared" si="35"/>
        <v>127.54149055477194</v>
      </c>
      <c r="AZ37" s="48">
        <f t="shared" si="35"/>
        <v>0</v>
      </c>
      <c r="BA37" s="48">
        <f t="shared" si="35"/>
        <v>0</v>
      </c>
      <c r="BB37" s="48">
        <f t="shared" si="35"/>
        <v>38.262447166431578</v>
      </c>
      <c r="BC37" s="48">
        <f t="shared" si="35"/>
        <v>0</v>
      </c>
      <c r="BD37" s="48">
        <f t="shared" si="35"/>
        <v>89.279043388340355</v>
      </c>
      <c r="BE37" s="48">
        <f t="shared" si="35"/>
        <v>127.54149055477194</v>
      </c>
      <c r="BF37" s="48">
        <f t="shared" si="35"/>
        <v>0</v>
      </c>
      <c r="BG37" s="48">
        <f t="shared" si="35"/>
        <v>0</v>
      </c>
      <c r="BH37" s="48">
        <f t="shared" si="35"/>
        <v>38.262447166431578</v>
      </c>
      <c r="BI37" s="48">
        <f t="shared" si="35"/>
        <v>0</v>
      </c>
      <c r="BJ37" s="48">
        <f t="shared" si="35"/>
        <v>89.279043388340355</v>
      </c>
      <c r="BK37" s="48">
        <f t="shared" si="35"/>
        <v>127.54149055477194</v>
      </c>
      <c r="BL37" s="48">
        <f t="shared" si="35"/>
        <v>0</v>
      </c>
      <c r="BM37" s="48">
        <f t="shared" si="35"/>
        <v>0</v>
      </c>
      <c r="BN37" s="48">
        <f t="shared" si="35"/>
        <v>38.262447166431578</v>
      </c>
      <c r="BO37" s="48">
        <f t="shared" si="35"/>
        <v>0</v>
      </c>
      <c r="BP37" s="48">
        <f t="shared" si="35"/>
        <v>89.279043388340355</v>
      </c>
      <c r="BQ37" s="48">
        <f t="shared" si="35"/>
        <v>127.54149055477194</v>
      </c>
      <c r="BR37" s="48">
        <f t="shared" si="35"/>
        <v>0</v>
      </c>
      <c r="BS37" s="48">
        <f t="shared" si="35"/>
        <v>0</v>
      </c>
      <c r="BT37" s="48">
        <f t="shared" si="35"/>
        <v>38.262447166431578</v>
      </c>
      <c r="BU37" s="48">
        <f t="shared" si="35"/>
        <v>0</v>
      </c>
      <c r="BV37" s="48">
        <f t="shared" si="35"/>
        <v>89.279043388340355</v>
      </c>
      <c r="BW37" s="48">
        <f t="shared" si="35"/>
        <v>127.54149055477194</v>
      </c>
      <c r="BY37" s="48">
        <f t="shared" si="35"/>
        <v>0</v>
      </c>
      <c r="BZ37" s="48">
        <f t="shared" si="35"/>
        <v>0</v>
      </c>
      <c r="CA37" s="48">
        <f t="shared" si="35"/>
        <v>0</v>
      </c>
      <c r="CB37" s="48">
        <f t="shared" si="35"/>
        <v>352.94695122582095</v>
      </c>
      <c r="CC37" s="48">
        <f t="shared" si="35"/>
        <v>356.56824421170666</v>
      </c>
      <c r="CD37" s="48">
        <f t="shared" si="35"/>
        <v>360.40630376752671</v>
      </c>
      <c r="CE37" s="48">
        <f t="shared" si="35"/>
        <v>363.81403880413228</v>
      </c>
      <c r="CF37" s="48">
        <f t="shared" si="35"/>
        <v>367.01560234560861</v>
      </c>
      <c r="CH37" s="48">
        <f t="shared" si="35"/>
        <v>0</v>
      </c>
      <c r="CI37" s="48">
        <f t="shared" si="35"/>
        <v>0</v>
      </c>
      <c r="CJ37" s="48">
        <f t="shared" si="35"/>
        <v>0</v>
      </c>
      <c r="CK37" s="48">
        <f t="shared" si="35"/>
        <v>52.874628071587857</v>
      </c>
      <c r="CL37" s="48">
        <f t="shared" si="35"/>
        <v>52.874628071587857</v>
      </c>
      <c r="CM37" s="48">
        <f t="shared" si="35"/>
        <v>52.874628071587857</v>
      </c>
      <c r="CN37" s="48">
        <f t="shared" si="35"/>
        <v>52.874628071587857</v>
      </c>
      <c r="CO37" s="48">
        <f t="shared" si="35"/>
        <v>52.874628071587857</v>
      </c>
      <c r="CQ37" s="48">
        <f t="shared" si="35"/>
        <v>0</v>
      </c>
      <c r="CR37" s="48">
        <f t="shared" si="35"/>
        <v>0</v>
      </c>
      <c r="CS37" s="48">
        <f t="shared" si="35"/>
        <v>0</v>
      </c>
      <c r="CT37" s="48">
        <f t="shared" si="35"/>
        <v>593.19239031125733</v>
      </c>
      <c r="CU37" s="48">
        <f t="shared" si="35"/>
        <v>597.42754183247337</v>
      </c>
      <c r="CV37" s="48">
        <f t="shared" si="35"/>
        <v>601.91620481271354</v>
      </c>
      <c r="CW37" s="48">
        <f t="shared" si="35"/>
        <v>605.90159740050797</v>
      </c>
      <c r="CX37" s="48">
        <f t="shared" si="35"/>
        <v>609.64586961372038</v>
      </c>
    </row>
    <row r="38" spans="2:104" x14ac:dyDescent="0.3">
      <c r="J38" s="114"/>
      <c r="K38" s="114"/>
      <c r="L38" s="114"/>
      <c r="M38" s="114"/>
      <c r="N38" s="114"/>
      <c r="O38" s="114"/>
      <c r="P38" s="114"/>
      <c r="Q38" s="114"/>
      <c r="S38" s="114"/>
      <c r="T38" s="114"/>
      <c r="U38" s="114"/>
      <c r="V38" s="114"/>
      <c r="W38" s="114"/>
      <c r="X38" s="114"/>
      <c r="Y38" s="114"/>
      <c r="Z38" s="114"/>
      <c r="AB38" s="41"/>
      <c r="AC38" s="41"/>
      <c r="AD38" s="41"/>
      <c r="AE38" s="41"/>
      <c r="AF38" s="41"/>
      <c r="AG38" s="114"/>
      <c r="AH38" s="114"/>
      <c r="AI38" s="114"/>
      <c r="AJ38" s="114"/>
      <c r="AK38" s="114"/>
      <c r="AL38" s="114"/>
      <c r="AM38" s="114"/>
      <c r="AN38" s="114"/>
      <c r="AO38" s="114"/>
      <c r="AP38" s="114"/>
      <c r="AQ38" s="114"/>
      <c r="AR38" s="114"/>
      <c r="AS38" s="114"/>
      <c r="AT38" s="114"/>
      <c r="AU38" s="114"/>
      <c r="AV38" s="114"/>
      <c r="AW38" s="114"/>
      <c r="AX38" s="114"/>
      <c r="AY38" s="114"/>
      <c r="AZ38" s="114"/>
      <c r="BA38" s="114"/>
      <c r="BB38" s="114"/>
      <c r="BC38" s="114"/>
      <c r="BD38" s="114"/>
      <c r="BE38" s="114"/>
      <c r="BF38" s="114"/>
      <c r="BG38" s="114"/>
      <c r="BH38" s="114"/>
      <c r="BI38" s="114"/>
      <c r="BJ38" s="114"/>
      <c r="BK38" s="114"/>
      <c r="BL38" s="114"/>
      <c r="BM38" s="114"/>
      <c r="BN38" s="114"/>
      <c r="BO38" s="114"/>
      <c r="BP38" s="114"/>
      <c r="BQ38" s="114"/>
      <c r="BR38" s="114"/>
      <c r="BS38" s="114"/>
      <c r="BT38" s="114"/>
      <c r="BU38" s="114"/>
      <c r="BV38" s="114"/>
      <c r="BW38" s="114"/>
      <c r="BY38" s="114"/>
      <c r="BZ38" s="114"/>
      <c r="CA38" s="114"/>
      <c r="CB38" s="114"/>
      <c r="CC38" s="114"/>
      <c r="CD38" s="114"/>
      <c r="CE38" s="114"/>
      <c r="CF38" s="114"/>
      <c r="CH38" s="114"/>
      <c r="CI38" s="114"/>
      <c r="CJ38" s="114"/>
      <c r="CK38" s="114"/>
      <c r="CL38" s="114"/>
      <c r="CM38" s="114"/>
      <c r="CN38" s="114"/>
      <c r="CO38" s="114"/>
      <c r="CQ38" s="206">
        <f t="shared" ref="CQ38:CX38" si="36">IF(ISERROR((CQ37-J37)/J37),0,(CQ37-J37)/J37)</f>
        <v>0</v>
      </c>
      <c r="CR38" s="206">
        <f t="shared" si="36"/>
        <v>0</v>
      </c>
      <c r="CS38" s="206">
        <f t="shared" si="36"/>
        <v>0</v>
      </c>
      <c r="CT38" s="206">
        <f t="shared" si="36"/>
        <v>2.2745500536650563E-2</v>
      </c>
      <c r="CU38" s="206">
        <f t="shared" si="36"/>
        <v>3.0047485918057528E-2</v>
      </c>
      <c r="CV38" s="206">
        <f t="shared" si="36"/>
        <v>3.7786560021919907E-2</v>
      </c>
      <c r="CW38" s="206">
        <f t="shared" si="36"/>
        <v>4.4657926552599946E-2</v>
      </c>
      <c r="CX38" s="206">
        <f t="shared" si="36"/>
        <v>5.1113568299517895E-2</v>
      </c>
    </row>
    <row r="39" spans="2:104" x14ac:dyDescent="0.3">
      <c r="J39" s="592"/>
      <c r="K39" s="592"/>
      <c r="L39" s="592"/>
      <c r="M39" s="592"/>
      <c r="N39" s="592"/>
      <c r="O39" s="592"/>
      <c r="P39" s="592"/>
      <c r="Q39" s="592"/>
      <c r="S39" s="114"/>
      <c r="T39" s="114"/>
      <c r="U39" s="114"/>
      <c r="V39" s="114"/>
      <c r="W39" s="114"/>
      <c r="X39" s="114"/>
      <c r="Y39" s="114"/>
      <c r="Z39" s="114"/>
      <c r="AB39" s="41"/>
      <c r="AC39" s="41"/>
      <c r="AD39" s="41"/>
      <c r="AE39" s="41"/>
      <c r="AF39" s="41"/>
      <c r="AG39" s="114"/>
      <c r="AH39" s="114"/>
      <c r="AI39" s="114"/>
      <c r="AJ39" s="114"/>
      <c r="AK39" s="114"/>
      <c r="AL39" s="114"/>
      <c r="AM39" s="114"/>
      <c r="AN39" s="114"/>
      <c r="AO39" s="114"/>
      <c r="AP39" s="114"/>
      <c r="AQ39" s="114"/>
      <c r="AR39" s="114"/>
      <c r="AS39" s="114"/>
      <c r="AT39" s="114"/>
      <c r="AU39" s="114"/>
      <c r="AV39" s="114"/>
      <c r="AW39" s="114"/>
      <c r="AX39" s="114"/>
      <c r="AY39" s="114"/>
      <c r="AZ39" s="114"/>
      <c r="BA39" s="114"/>
      <c r="BB39" s="114"/>
      <c r="BC39" s="114"/>
      <c r="BD39" s="114"/>
      <c r="BE39" s="114"/>
      <c r="BF39" s="114"/>
      <c r="BG39" s="114"/>
      <c r="BH39" s="114"/>
      <c r="BI39" s="114"/>
      <c r="BJ39" s="114"/>
      <c r="BK39" s="114"/>
      <c r="BL39" s="114"/>
      <c r="BM39" s="114"/>
      <c r="BN39" s="114"/>
      <c r="BO39" s="114"/>
      <c r="BP39" s="114"/>
      <c r="BQ39" s="114"/>
      <c r="BR39" s="114"/>
      <c r="BS39" s="114"/>
      <c r="BT39" s="114"/>
      <c r="BU39" s="114"/>
      <c r="BV39" s="114"/>
      <c r="BW39" s="114"/>
      <c r="BY39" s="114"/>
      <c r="BZ39" s="114"/>
      <c r="CA39" s="114"/>
      <c r="CB39" s="114"/>
      <c r="CC39" s="114"/>
      <c r="CD39" s="114"/>
      <c r="CE39" s="114"/>
      <c r="CF39" s="114"/>
      <c r="CH39" s="114"/>
      <c r="CI39" s="114"/>
      <c r="CJ39" s="114"/>
      <c r="CK39" s="114"/>
      <c r="CL39" s="114"/>
      <c r="CM39" s="114"/>
      <c r="CN39" s="114"/>
      <c r="CO39" s="114"/>
      <c r="CQ39" s="114"/>
      <c r="CR39" s="114"/>
      <c r="CS39" s="114"/>
      <c r="CT39" s="114"/>
      <c r="CU39" s="114"/>
      <c r="CV39" s="114"/>
      <c r="CW39" s="114"/>
      <c r="CX39" s="114"/>
    </row>
    <row r="40" spans="2:104" ht="43.2" outlineLevel="1" x14ac:dyDescent="0.3">
      <c r="B40" s="2" t="s">
        <v>310</v>
      </c>
      <c r="J40" s="589" t="s">
        <v>79</v>
      </c>
      <c r="K40" s="590"/>
      <c r="L40" s="590"/>
      <c r="M40" s="590"/>
      <c r="N40" s="590"/>
      <c r="O40" s="590"/>
      <c r="P40" s="590"/>
      <c r="Q40" s="591"/>
      <c r="S40" s="589" t="s">
        <v>174</v>
      </c>
      <c r="T40" s="590"/>
      <c r="U40" s="590"/>
      <c r="V40" s="590"/>
      <c r="W40" s="590"/>
      <c r="X40" s="590"/>
      <c r="Y40" s="590"/>
      <c r="Z40" s="591"/>
      <c r="AA40" s="58"/>
      <c r="AB40" s="9" t="s">
        <v>180</v>
      </c>
      <c r="AC40" s="9" t="s">
        <v>181</v>
      </c>
      <c r="AD40" s="9" t="s">
        <v>182</v>
      </c>
      <c r="AE40" s="9" t="s">
        <v>183</v>
      </c>
      <c r="AF40" s="9" t="s">
        <v>5</v>
      </c>
      <c r="AG40" s="9" t="s">
        <v>173</v>
      </c>
      <c r="AH40" s="9" t="s">
        <v>180</v>
      </c>
      <c r="AI40" s="9" t="s">
        <v>181</v>
      </c>
      <c r="AJ40" s="9" t="s">
        <v>182</v>
      </c>
      <c r="AK40" s="9" t="s">
        <v>183</v>
      </c>
      <c r="AL40" s="9" t="s">
        <v>5</v>
      </c>
      <c r="AM40" s="9" t="s">
        <v>173</v>
      </c>
      <c r="AN40" s="9" t="s">
        <v>180</v>
      </c>
      <c r="AO40" s="9" t="s">
        <v>181</v>
      </c>
      <c r="AP40" s="9" t="s">
        <v>182</v>
      </c>
      <c r="AQ40" s="9" t="s">
        <v>183</v>
      </c>
      <c r="AR40" s="9" t="s">
        <v>5</v>
      </c>
      <c r="AS40" s="9" t="s">
        <v>173</v>
      </c>
      <c r="AT40" s="9" t="s">
        <v>180</v>
      </c>
      <c r="AU40" s="9" t="s">
        <v>181</v>
      </c>
      <c r="AV40" s="9" t="s">
        <v>182</v>
      </c>
      <c r="AW40" s="9" t="s">
        <v>183</v>
      </c>
      <c r="AX40" s="9" t="s">
        <v>5</v>
      </c>
      <c r="AY40" s="9" t="s">
        <v>173</v>
      </c>
      <c r="AZ40" s="9" t="s">
        <v>180</v>
      </c>
      <c r="BA40" s="9" t="s">
        <v>181</v>
      </c>
      <c r="BB40" s="9" t="s">
        <v>182</v>
      </c>
      <c r="BC40" s="9" t="s">
        <v>183</v>
      </c>
      <c r="BD40" s="9" t="s">
        <v>5</v>
      </c>
      <c r="BE40" s="9" t="s">
        <v>173</v>
      </c>
      <c r="BF40" s="9" t="s">
        <v>180</v>
      </c>
      <c r="BG40" s="9" t="s">
        <v>181</v>
      </c>
      <c r="BH40" s="9" t="s">
        <v>182</v>
      </c>
      <c r="BI40" s="9" t="s">
        <v>183</v>
      </c>
      <c r="BJ40" s="9" t="s">
        <v>5</v>
      </c>
      <c r="BK40" s="9" t="s">
        <v>173</v>
      </c>
      <c r="BL40" s="9" t="s">
        <v>180</v>
      </c>
      <c r="BM40" s="9" t="s">
        <v>181</v>
      </c>
      <c r="BN40" s="9" t="s">
        <v>182</v>
      </c>
      <c r="BO40" s="9" t="s">
        <v>183</v>
      </c>
      <c r="BP40" s="9" t="s">
        <v>5</v>
      </c>
      <c r="BQ40" s="9" t="s">
        <v>173</v>
      </c>
      <c r="BR40" s="9" t="s">
        <v>180</v>
      </c>
      <c r="BS40" s="9" t="s">
        <v>181</v>
      </c>
      <c r="BT40" s="9" t="s">
        <v>182</v>
      </c>
      <c r="BU40" s="9" t="s">
        <v>183</v>
      </c>
      <c r="BV40" s="9" t="s">
        <v>5</v>
      </c>
      <c r="BW40" s="9" t="s">
        <v>173</v>
      </c>
      <c r="BX40" s="58"/>
      <c r="BY40" s="589" t="s">
        <v>297</v>
      </c>
      <c r="BZ40" s="590"/>
      <c r="CA40" s="590"/>
      <c r="CB40" s="590"/>
      <c r="CC40" s="590"/>
      <c r="CD40" s="590"/>
      <c r="CE40" s="590"/>
      <c r="CF40" s="591"/>
      <c r="CG40" s="58"/>
      <c r="CH40" s="589" t="s">
        <v>175</v>
      </c>
      <c r="CI40" s="590"/>
      <c r="CJ40" s="590"/>
      <c r="CK40" s="590"/>
      <c r="CL40" s="590"/>
      <c r="CM40" s="590"/>
      <c r="CN40" s="590"/>
      <c r="CO40" s="591"/>
      <c r="CP40" s="58"/>
      <c r="CQ40" s="589" t="s">
        <v>237</v>
      </c>
      <c r="CR40" s="590"/>
      <c r="CS40" s="590"/>
      <c r="CT40" s="590"/>
      <c r="CU40" s="590"/>
      <c r="CV40" s="590"/>
      <c r="CW40" s="590"/>
      <c r="CX40" s="591"/>
    </row>
    <row r="41" spans="2:104" outlineLevel="1" x14ac:dyDescent="0.3">
      <c r="B41" s="8" t="s">
        <v>23</v>
      </c>
      <c r="C41" s="8" t="s">
        <v>24</v>
      </c>
      <c r="D41" s="17" t="s">
        <v>98</v>
      </c>
      <c r="E41" s="17" t="s">
        <v>76</v>
      </c>
      <c r="F41" s="17" t="s">
        <v>77</v>
      </c>
      <c r="G41" s="17" t="s">
        <v>322</v>
      </c>
      <c r="H41" s="17" t="s">
        <v>212</v>
      </c>
      <c r="I41" s="17" t="s">
        <v>177</v>
      </c>
      <c r="J41" s="335">
        <f>CP_Yr_4</f>
        <v>43800</v>
      </c>
      <c r="K41" s="335">
        <f>CP_Yr_5</f>
        <v>44166</v>
      </c>
      <c r="L41" s="335">
        <f>Stub</f>
        <v>44377</v>
      </c>
      <c r="M41" s="335">
        <f>Yr_1</f>
        <v>44742</v>
      </c>
      <c r="N41" s="335">
        <f>Yr_2</f>
        <v>45107</v>
      </c>
      <c r="O41" s="335">
        <f>Yr_3</f>
        <v>45473</v>
      </c>
      <c r="P41" s="335">
        <f>Yr_4</f>
        <v>45838</v>
      </c>
      <c r="Q41" s="335">
        <f>Yr_5</f>
        <v>46203</v>
      </c>
      <c r="S41" s="335">
        <f>CP_Yr_4</f>
        <v>43800</v>
      </c>
      <c r="T41" s="335">
        <f>CP_Yr_5</f>
        <v>44166</v>
      </c>
      <c r="U41" s="335">
        <f>Stub</f>
        <v>44377</v>
      </c>
      <c r="V41" s="335">
        <f>Yr_1</f>
        <v>44742</v>
      </c>
      <c r="W41" s="335">
        <f>Yr_2</f>
        <v>45107</v>
      </c>
      <c r="X41" s="335">
        <f>Yr_3</f>
        <v>45473</v>
      </c>
      <c r="Y41" s="335">
        <f>Yr_4</f>
        <v>45838</v>
      </c>
      <c r="Z41" s="335">
        <f>Yr_5</f>
        <v>46203</v>
      </c>
      <c r="AB41" s="335">
        <f>AB5</f>
        <v>43800</v>
      </c>
      <c r="AC41" s="335">
        <f t="shared" ref="AC41:BW41" si="37">AC5</f>
        <v>43800</v>
      </c>
      <c r="AD41" s="335">
        <f t="shared" si="37"/>
        <v>43800</v>
      </c>
      <c r="AE41" s="335">
        <f t="shared" si="37"/>
        <v>43800</v>
      </c>
      <c r="AF41" s="335">
        <f t="shared" si="37"/>
        <v>43800</v>
      </c>
      <c r="AG41" s="335">
        <f t="shared" si="37"/>
        <v>43800</v>
      </c>
      <c r="AH41" s="335">
        <f t="shared" si="37"/>
        <v>44166</v>
      </c>
      <c r="AI41" s="335">
        <f t="shared" si="37"/>
        <v>44166</v>
      </c>
      <c r="AJ41" s="335">
        <f t="shared" si="37"/>
        <v>44166</v>
      </c>
      <c r="AK41" s="335">
        <f t="shared" si="37"/>
        <v>44166</v>
      </c>
      <c r="AL41" s="335">
        <f t="shared" si="37"/>
        <v>44166</v>
      </c>
      <c r="AM41" s="335">
        <f t="shared" si="37"/>
        <v>44166</v>
      </c>
      <c r="AN41" s="335">
        <f t="shared" si="37"/>
        <v>44377</v>
      </c>
      <c r="AO41" s="335">
        <f t="shared" si="37"/>
        <v>44377</v>
      </c>
      <c r="AP41" s="335">
        <f t="shared" si="37"/>
        <v>44377</v>
      </c>
      <c r="AQ41" s="335">
        <f t="shared" si="37"/>
        <v>44377</v>
      </c>
      <c r="AR41" s="335">
        <f t="shared" si="37"/>
        <v>44377</v>
      </c>
      <c r="AS41" s="335">
        <f t="shared" si="37"/>
        <v>44377</v>
      </c>
      <c r="AT41" s="335">
        <f t="shared" si="37"/>
        <v>44742</v>
      </c>
      <c r="AU41" s="335">
        <f t="shared" si="37"/>
        <v>44742</v>
      </c>
      <c r="AV41" s="335">
        <f t="shared" si="37"/>
        <v>44742</v>
      </c>
      <c r="AW41" s="335">
        <f t="shared" si="37"/>
        <v>44742</v>
      </c>
      <c r="AX41" s="335">
        <f t="shared" si="37"/>
        <v>44742</v>
      </c>
      <c r="AY41" s="335">
        <f t="shared" si="37"/>
        <v>44742</v>
      </c>
      <c r="AZ41" s="335">
        <f t="shared" si="37"/>
        <v>45107</v>
      </c>
      <c r="BA41" s="335">
        <f t="shared" si="37"/>
        <v>45107</v>
      </c>
      <c r="BB41" s="335">
        <f t="shared" si="37"/>
        <v>45107</v>
      </c>
      <c r="BC41" s="335">
        <f t="shared" si="37"/>
        <v>45107</v>
      </c>
      <c r="BD41" s="335">
        <f t="shared" si="37"/>
        <v>45107</v>
      </c>
      <c r="BE41" s="335">
        <f t="shared" si="37"/>
        <v>45107</v>
      </c>
      <c r="BF41" s="335">
        <f t="shared" si="37"/>
        <v>45473</v>
      </c>
      <c r="BG41" s="335">
        <f t="shared" si="37"/>
        <v>45473</v>
      </c>
      <c r="BH41" s="335">
        <f t="shared" si="37"/>
        <v>45473</v>
      </c>
      <c r="BI41" s="335">
        <f t="shared" si="37"/>
        <v>45473</v>
      </c>
      <c r="BJ41" s="335">
        <f t="shared" si="37"/>
        <v>45473</v>
      </c>
      <c r="BK41" s="335">
        <f t="shared" si="37"/>
        <v>45473</v>
      </c>
      <c r="BL41" s="335">
        <f t="shared" si="37"/>
        <v>45838</v>
      </c>
      <c r="BM41" s="335">
        <f t="shared" si="37"/>
        <v>45838</v>
      </c>
      <c r="BN41" s="335">
        <f t="shared" si="37"/>
        <v>45838</v>
      </c>
      <c r="BO41" s="335">
        <f t="shared" si="37"/>
        <v>45838</v>
      </c>
      <c r="BP41" s="335">
        <f t="shared" si="37"/>
        <v>45838</v>
      </c>
      <c r="BQ41" s="335">
        <f t="shared" si="37"/>
        <v>45838</v>
      </c>
      <c r="BR41" s="335">
        <f t="shared" si="37"/>
        <v>46203</v>
      </c>
      <c r="BS41" s="335">
        <f t="shared" si="37"/>
        <v>46203</v>
      </c>
      <c r="BT41" s="335">
        <f t="shared" si="37"/>
        <v>46203</v>
      </c>
      <c r="BU41" s="335">
        <f t="shared" si="37"/>
        <v>46203</v>
      </c>
      <c r="BV41" s="335">
        <f t="shared" si="37"/>
        <v>46203</v>
      </c>
      <c r="BW41" s="335">
        <f t="shared" si="37"/>
        <v>46203</v>
      </c>
      <c r="BY41" s="335">
        <f>CP_Yr_4</f>
        <v>43800</v>
      </c>
      <c r="BZ41" s="335">
        <f>CP_Yr_5</f>
        <v>44166</v>
      </c>
      <c r="CA41" s="335">
        <f>Stub</f>
        <v>44377</v>
      </c>
      <c r="CB41" s="335">
        <f>Yr_1</f>
        <v>44742</v>
      </c>
      <c r="CC41" s="335">
        <f>Yr_2</f>
        <v>45107</v>
      </c>
      <c r="CD41" s="335">
        <f>Yr_3</f>
        <v>45473</v>
      </c>
      <c r="CE41" s="335">
        <f>Yr_4</f>
        <v>45838</v>
      </c>
      <c r="CF41" s="335">
        <f>Yr_5</f>
        <v>46203</v>
      </c>
      <c r="CH41" s="335">
        <f>CP_Yr_4</f>
        <v>43800</v>
      </c>
      <c r="CI41" s="335">
        <f>CP_Yr_5</f>
        <v>44166</v>
      </c>
      <c r="CJ41" s="335">
        <f>Stub</f>
        <v>44377</v>
      </c>
      <c r="CK41" s="335">
        <f>Yr_1</f>
        <v>44742</v>
      </c>
      <c r="CL41" s="335">
        <f>Yr_2</f>
        <v>45107</v>
      </c>
      <c r="CM41" s="335">
        <f>Yr_3</f>
        <v>45473</v>
      </c>
      <c r="CN41" s="335">
        <f>Yr_4</f>
        <v>45838</v>
      </c>
      <c r="CO41" s="335">
        <f>Yr_5</f>
        <v>46203</v>
      </c>
      <c r="CQ41" s="335">
        <f>CP_Yr_4</f>
        <v>43800</v>
      </c>
      <c r="CR41" s="335">
        <f>CP_Yr_5</f>
        <v>44166</v>
      </c>
      <c r="CS41" s="335">
        <f>Stub</f>
        <v>44377</v>
      </c>
      <c r="CT41" s="335">
        <f>Yr_1</f>
        <v>44742</v>
      </c>
      <c r="CU41" s="335">
        <f>Yr_2</f>
        <v>45107</v>
      </c>
      <c r="CV41" s="335">
        <f>Yr_3</f>
        <v>45473</v>
      </c>
      <c r="CW41" s="335">
        <f>Yr_4</f>
        <v>45838</v>
      </c>
      <c r="CX41" s="335">
        <f>Yr_5</f>
        <v>46203</v>
      </c>
    </row>
    <row r="42" spans="2:104" outlineLevel="1" x14ac:dyDescent="0.3">
      <c r="B42" s="7" t="s">
        <v>444</v>
      </c>
      <c r="C42" s="7"/>
      <c r="D42" s="7" t="s">
        <v>58</v>
      </c>
      <c r="E42" s="7" t="s">
        <v>45</v>
      </c>
      <c r="F42" s="7" t="s">
        <v>55</v>
      </c>
      <c r="G42" s="7" t="s">
        <v>150</v>
      </c>
      <c r="H42" s="7" t="s">
        <v>157</v>
      </c>
      <c r="I42" s="7" t="s">
        <v>197</v>
      </c>
      <c r="J42" s="45"/>
      <c r="K42" s="45"/>
      <c r="L42" s="45"/>
      <c r="M42" s="45"/>
      <c r="N42" s="45"/>
      <c r="O42" s="45"/>
      <c r="P42" s="45"/>
      <c r="Q42" s="45"/>
      <c r="S42" s="47">
        <f t="shared" ref="S42:Z42" si="38">INDEX(Direct_Cost_Splits_Network,MATCH($H42,RIN_Asset_Cat_Network,0),MATCH($S$4,Direct_Cost_Type,0))*J42</f>
        <v>0</v>
      </c>
      <c r="T42" s="47">
        <f t="shared" si="38"/>
        <v>0</v>
      </c>
      <c r="U42" s="47">
        <f t="shared" si="38"/>
        <v>0</v>
      </c>
      <c r="V42" s="47">
        <f t="shared" si="38"/>
        <v>0</v>
      </c>
      <c r="W42" s="47">
        <f t="shared" si="38"/>
        <v>0</v>
      </c>
      <c r="X42" s="47">
        <f t="shared" si="38"/>
        <v>0</v>
      </c>
      <c r="Y42" s="47">
        <f t="shared" si="38"/>
        <v>0</v>
      </c>
      <c r="Z42" s="47">
        <f t="shared" si="38"/>
        <v>0</v>
      </c>
      <c r="AB42" s="47">
        <f>INDEX(Direct_Cost_Splits_Network,MATCH($H42,RIN_Asset_Cat_Network,0),MATCH($AG$4,Direct_Cost_Type,0))*$J42*INDEX(Act_Type_Repex_Splits,MATCH($I42,Act_Type_Repex,0),MATCH(AB$4,Mat_Type,0))*INDEX(Escalators!$I$44:$Q$49,MATCH(AB$4,Escalators!$C$44:$C$49,0),MATCH(AB$5,Escalators!$I$43:$Q$43,0))</f>
        <v>0</v>
      </c>
      <c r="AC42" s="47">
        <f>INDEX(Direct_Cost_Splits_Network,MATCH($H42,RIN_Asset_Cat_Network,0),MATCH($AG$4,Direct_Cost_Type,0))*$J42*INDEX(Act_Type_Repex_Splits,MATCH($I42,Act_Type_Repex,0),MATCH(AC$4,Mat_Type,0))*INDEX(Escalators!$I$44:$Q$49,MATCH(AC$4,Escalators!$C$44:$C$49,0),MATCH(AC$5,Escalators!$I$43:$Q$43,0))</f>
        <v>0</v>
      </c>
      <c r="AD42" s="47">
        <f>INDEX(Direct_Cost_Splits_Network,MATCH($H42,RIN_Asset_Cat_Network,0),MATCH($AG$4,Direct_Cost_Type,0))*$J42*INDEX(Act_Type_Repex_Splits,MATCH($I42,Act_Type_Repex,0),MATCH(AD$4,Mat_Type,0))*INDEX(Escalators!$I$44:$Q$49,MATCH(AD$4,Escalators!$C$44:$C$49,0),MATCH(AD$5,Escalators!$I$43:$Q$43,0))</f>
        <v>0</v>
      </c>
      <c r="AE42" s="47">
        <f>INDEX(Direct_Cost_Splits_Network,MATCH($H42,RIN_Asset_Cat_Network,0),MATCH($AG$4,Direct_Cost_Type,0))*$J42*INDEX(Act_Type_Repex_Splits,MATCH($I42,Act_Type_Repex,0),MATCH(AE$4,Mat_Type,0))*INDEX(Escalators!$I$44:$Q$49,MATCH(AE$4,Escalators!$C$44:$C$49,0),MATCH(AE$5,Escalators!$I$43:$Q$43,0))</f>
        <v>0</v>
      </c>
      <c r="AF42" s="47">
        <f>INDEX(Direct_Cost_Splits_Network,MATCH($H42,RIN_Asset_Cat_Network,0),MATCH($AG$4,Direct_Cost_Type,0))*$J42*INDEX(Act_Type_Repex_Splits,MATCH($I42,Act_Type_Repex,0),MATCH(AF$4,Mat_Type,0))*INDEX(Escalators!$I$44:$Q$49,MATCH(AF$4,Escalators!$C$44:$C$49,0),MATCH(AF$5,Escalators!$I$43:$Q$43,0))</f>
        <v>0</v>
      </c>
      <c r="AG42" s="47">
        <f>SUM(AB42:AF42)</f>
        <v>0</v>
      </c>
      <c r="AH42" s="47">
        <f>INDEX(Direct_Cost_Splits_Network,MATCH($H42,RIN_Asset_Cat_Network,0),MATCH($AY$4,Direct_Cost_Type,0))*$M42*INDEX(Act_Type_Repex_Splits,MATCH($I42,Act_Type_Repex,0),MATCH(AH$4,Mat_Type,0))*INDEX(Escalators!$I$44:$U$49,MATCH(AH$4,Escalators!$C$44:$C$49,0),MATCH(AH$5,Escalators!$I$43:$U$43,0))</f>
        <v>0</v>
      </c>
      <c r="AI42" s="47">
        <f>INDEX(Direct_Cost_Splits_Network,MATCH($H42,RIN_Asset_Cat_Network,0),MATCH($AY$4,Direct_Cost_Type,0))*$M42*INDEX(Act_Type_Repex_Splits,MATCH($I42,Act_Type_Repex,0),MATCH(AI$4,Mat_Type,0))*INDEX(Escalators!$I$44:$U$49,MATCH(AI$4,Escalators!$C$44:$C$49,0),MATCH(AI$5,Escalators!$I$43:$U$43,0))</f>
        <v>0</v>
      </c>
      <c r="AJ42" s="47">
        <f>INDEX(Direct_Cost_Splits_Network,MATCH($H42,RIN_Asset_Cat_Network,0),MATCH($AY$4,Direct_Cost_Type,0))*$M42*INDEX(Act_Type_Repex_Splits,MATCH($I42,Act_Type_Repex,0),MATCH(AJ$4,Mat_Type,0))*INDEX(Escalators!$I$44:$U$49,MATCH(AJ$4,Escalators!$C$44:$C$49,0),MATCH(AJ$5,Escalators!$I$43:$U$43,0))</f>
        <v>0</v>
      </c>
      <c r="AK42" s="47">
        <f>INDEX(Direct_Cost_Splits_Network,MATCH($H42,RIN_Asset_Cat_Network,0),MATCH($AY$4,Direct_Cost_Type,0))*$M42*INDEX(Act_Type_Repex_Splits,MATCH($I42,Act_Type_Repex,0),MATCH(AK$4,Mat_Type,0))*INDEX(Escalators!$I$44:$U$49,MATCH(AK$4,Escalators!$C$44:$C$49,0),MATCH(AK$5,Escalators!$I$43:$U$43,0))</f>
        <v>0</v>
      </c>
      <c r="AL42" s="47">
        <f>INDEX(Direct_Cost_Splits_Network,MATCH($H42,RIN_Asset_Cat_Network,0),MATCH($AY$4,Direct_Cost_Type,0))*$M42*INDEX(Act_Type_Repex_Splits,MATCH($I42,Act_Type_Repex,0),MATCH(AL$4,Mat_Type,0))*INDEX(Escalators!$I$44:$U$49,MATCH(AL$4,Escalators!$C$44:$C$49,0),MATCH(AL$5,Escalators!$I$43:$U$43,0))</f>
        <v>0</v>
      </c>
      <c r="AM42" s="47">
        <f>SUM(AH42:AL42)</f>
        <v>0</v>
      </c>
      <c r="AN42" s="47">
        <f>INDEX(Direct_Cost_Splits_Network,MATCH($H42,RIN_Asset_Cat_Network,0),MATCH($AY$4,Direct_Cost_Type,0))*$L42*INDEX(Act_Type_Repex_Splits,MATCH($I42,Act_Type_Repex,0),MATCH(AN$4,Mat_Type,0))*INDEX(Escalators!$I$44:$U$49,MATCH(AN$4,Escalators!$C$44:$C$49,0),MATCH(AN$5,Escalators!$I$43:$U$43,0))</f>
        <v>0</v>
      </c>
      <c r="AO42" s="47">
        <f>INDEX(Direct_Cost_Splits_Network,MATCH($H42,RIN_Asset_Cat_Network,0),MATCH($AY$4,Direct_Cost_Type,0))*$L42*INDEX(Act_Type_Repex_Splits,MATCH($I42,Act_Type_Repex,0),MATCH(AO$4,Mat_Type,0))*INDEX(Escalators!$I$44:$U$49,MATCH(AO$4,Escalators!$C$44:$C$49,0),MATCH(AO$5,Escalators!$I$43:$U$43,0))</f>
        <v>0</v>
      </c>
      <c r="AP42" s="47">
        <f>INDEX(Direct_Cost_Splits_Network,MATCH($H42,RIN_Asset_Cat_Network,0),MATCH($AY$4,Direct_Cost_Type,0))*$L42*INDEX(Act_Type_Repex_Splits,MATCH($I42,Act_Type_Repex,0),MATCH(AP$4,Mat_Type,0))*INDEX(Escalators!$I$44:$U$49,MATCH(AP$4,Escalators!$C$44:$C$49,0),MATCH(AP$5,Escalators!$I$43:$U$43,0))</f>
        <v>0</v>
      </c>
      <c r="AQ42" s="47">
        <f>INDEX(Direct_Cost_Splits_Network,MATCH($H42,RIN_Asset_Cat_Network,0),MATCH($AY$4,Direct_Cost_Type,0))*$L42*INDEX(Act_Type_Repex_Splits,MATCH($I42,Act_Type_Repex,0),MATCH(AQ$4,Mat_Type,0))*INDEX(Escalators!$I$44:$U$49,MATCH(AQ$4,Escalators!$C$44:$C$49,0),MATCH(AQ$5,Escalators!$I$43:$U$43,0))</f>
        <v>0</v>
      </c>
      <c r="AR42" s="47">
        <f>INDEX(Direct_Cost_Splits_Network,MATCH($H42,RIN_Asset_Cat_Network,0),MATCH($AY$4,Direct_Cost_Type,0))*$L42*INDEX(Act_Type_Repex_Splits,MATCH($I42,Act_Type_Repex,0),MATCH(AR$4,Mat_Type,0))*INDEX(Escalators!$I$44:$U$49,MATCH(AR$4,Escalators!$C$44:$C$49,0),MATCH(AR$5,Escalators!$I$43:$U$43,0))</f>
        <v>0</v>
      </c>
      <c r="AS42" s="47">
        <f>SUM(AN42:AR42)</f>
        <v>0</v>
      </c>
      <c r="AT42" s="47">
        <f>INDEX(Direct_Cost_Splits_Network,MATCH($H42,RIN_Asset_Cat_Network,0),MATCH($AY$4,Direct_Cost_Type,0))*$M42*INDEX(Act_Type_Repex_Splits,MATCH($I42,Act_Type_Repex,0),MATCH(AT$4,Mat_Type,0))*INDEX(Escalators!$I$44:$U$49,MATCH(AT$4,Escalators!$C$44:$C$49,0),MATCH(AT$5,Escalators!$I$43:$U$43,0))</f>
        <v>0</v>
      </c>
      <c r="AU42" s="47">
        <f>INDEX(Direct_Cost_Splits_Network,MATCH($H42,RIN_Asset_Cat_Network,0),MATCH($AY$4,Direct_Cost_Type,0))*$M42*INDEX(Act_Type_Repex_Splits,MATCH($I42,Act_Type_Repex,0),MATCH(AU$4,Mat_Type,0))*INDEX(Escalators!$I$44:$U$49,MATCH(AU$4,Escalators!$C$44:$C$49,0),MATCH(AU$5,Escalators!$I$43:$U$43,0))</f>
        <v>0</v>
      </c>
      <c r="AV42" s="47">
        <f>INDEX(Direct_Cost_Splits_Network,MATCH($H42,RIN_Asset_Cat_Network,0),MATCH($AY$4,Direct_Cost_Type,0))*$M42*INDEX(Act_Type_Repex_Splits,MATCH($I42,Act_Type_Repex,0),MATCH(AV$4,Mat_Type,0))*INDEX(Escalators!$I$44:$U$49,MATCH(AV$4,Escalators!$C$44:$C$49,0),MATCH(AV$5,Escalators!$I$43:$U$43,0))</f>
        <v>0</v>
      </c>
      <c r="AW42" s="47">
        <f>INDEX(Direct_Cost_Splits_Network,MATCH($H42,RIN_Asset_Cat_Network,0),MATCH($AY$4,Direct_Cost_Type,0))*$M42*INDEX(Act_Type_Repex_Splits,MATCH($I42,Act_Type_Repex,0),MATCH(AW$4,Mat_Type,0))*INDEX(Escalators!$I$44:$U$49,MATCH(AW$4,Escalators!$C$44:$C$49,0),MATCH(AW$5,Escalators!$I$43:$U$43,0))</f>
        <v>0</v>
      </c>
      <c r="AX42" s="47">
        <f>INDEX(Direct_Cost_Splits_Network,MATCH($H42,RIN_Asset_Cat_Network,0),MATCH($AY$4,Direct_Cost_Type,0))*$M42*INDEX(Act_Type_Repex_Splits,MATCH($I42,Act_Type_Repex,0),MATCH(AX$4,Mat_Type,0))*INDEX(Escalators!$I$44:$U$49,MATCH(AX$4,Escalators!$C$44:$C$49,0),MATCH(AX$5,Escalators!$I$43:$U$43,0))</f>
        <v>0</v>
      </c>
      <c r="AY42" s="47">
        <f>SUM(AT42:AX42)</f>
        <v>0</v>
      </c>
      <c r="AZ42" s="47">
        <f>INDEX(Direct_Cost_Splits_Network,MATCH($H42,RIN_Asset_Cat_Network,0),MATCH($BE$4,Direct_Cost_Type,0))*$N42*INDEX(Act_Type_Repex_Splits,MATCH($I42,Act_Type_Repex,0),MATCH(AZ$4,Mat_Type,0))*INDEX(Escalators!$I$44:$U$49,MATCH(AZ$4,Escalators!$C$44:$C$49,0),MATCH(AZ$5,Escalators!$I$43:$U$43,0))</f>
        <v>0</v>
      </c>
      <c r="BA42" s="47">
        <f>INDEX(Direct_Cost_Splits_Network,MATCH($H42,RIN_Asset_Cat_Network,0),MATCH($BE$4,Direct_Cost_Type,0))*$N42*INDEX(Act_Type_Repex_Splits,MATCH($I42,Act_Type_Repex,0),MATCH(BA$4,Mat_Type,0))*INDEX(Escalators!$I$44:$U$49,MATCH(BA$4,Escalators!$C$44:$C$49,0),MATCH(BA$5,Escalators!$I$43:$U$43,0))</f>
        <v>0</v>
      </c>
      <c r="BB42" s="47">
        <f>INDEX(Direct_Cost_Splits_Network,MATCH($H42,RIN_Asset_Cat_Network,0),MATCH($BE$4,Direct_Cost_Type,0))*$N42*INDEX(Act_Type_Repex_Splits,MATCH($I42,Act_Type_Repex,0),MATCH(BB$4,Mat_Type,0))*INDEX(Escalators!$I$44:$U$49,MATCH(BB$4,Escalators!$C$44:$C$49,0),MATCH(BB$5,Escalators!$I$43:$U$43,0))</f>
        <v>0</v>
      </c>
      <c r="BC42" s="47">
        <f>INDEX(Direct_Cost_Splits_Network,MATCH($H42,RIN_Asset_Cat_Network,0),MATCH($BE$4,Direct_Cost_Type,0))*$N42*INDEX(Act_Type_Repex_Splits,MATCH($I42,Act_Type_Repex,0),MATCH(BC$4,Mat_Type,0))*INDEX(Escalators!$I$44:$U$49,MATCH(BC$4,Escalators!$C$44:$C$49,0),MATCH(BC$5,Escalators!$I$43:$U$43,0))</f>
        <v>0</v>
      </c>
      <c r="BD42" s="47">
        <f>INDEX(Direct_Cost_Splits_Network,MATCH($H42,RIN_Asset_Cat_Network,0),MATCH($BE$4,Direct_Cost_Type,0))*$N42*INDEX(Act_Type_Repex_Splits,MATCH($I42,Act_Type_Repex,0),MATCH(BD$4,Mat_Type,0))*INDEX(Escalators!$I$44:$U$49,MATCH(BD$4,Escalators!$C$44:$C$49,0),MATCH(BD$5,Escalators!$I$43:$U$43,0))</f>
        <v>0</v>
      </c>
      <c r="BE42" s="47">
        <f>SUM(AZ42:BD42)</f>
        <v>0</v>
      </c>
      <c r="BF42" s="47">
        <f>INDEX(Direct_Cost_Splits_Network,MATCH($H42,RIN_Asset_Cat_Network,0),MATCH($BK$4,Direct_Cost_Type,0))*$O42*INDEX(Act_Type_Repex_Splits,MATCH($I42,Act_Type_Repex,0),MATCH(BF$4,Mat_Type,0))*INDEX(Escalators!$I$44:$U$49,MATCH(BF$4,Escalators!$C$44:$C$49,0),MATCH(BF$5,Escalators!$I$43:$U$43,0))</f>
        <v>0</v>
      </c>
      <c r="BG42" s="47">
        <f>INDEX(Direct_Cost_Splits_Network,MATCH($H42,RIN_Asset_Cat_Network,0),MATCH($BK$4,Direct_Cost_Type,0))*$O42*INDEX(Act_Type_Repex_Splits,MATCH($I42,Act_Type_Repex,0),MATCH(BG$4,Mat_Type,0))*INDEX(Escalators!$I$44:$U$49,MATCH(BG$4,Escalators!$C$44:$C$49,0),MATCH(BG$5,Escalators!$I$43:$U$43,0))</f>
        <v>0</v>
      </c>
      <c r="BH42" s="47">
        <f>INDEX(Direct_Cost_Splits_Network,MATCH($H42,RIN_Asset_Cat_Network,0),MATCH($BK$4,Direct_Cost_Type,0))*$O42*INDEX(Act_Type_Repex_Splits,MATCH($I42,Act_Type_Repex,0),MATCH(BH$4,Mat_Type,0))*INDEX(Escalators!$I$44:$U$49,MATCH(BH$4,Escalators!$C$44:$C$49,0),MATCH(BH$5,Escalators!$I$43:$U$43,0))</f>
        <v>0</v>
      </c>
      <c r="BI42" s="47">
        <f>INDEX(Direct_Cost_Splits_Network,MATCH($H42,RIN_Asset_Cat_Network,0),MATCH($BK$4,Direct_Cost_Type,0))*$O42*INDEX(Act_Type_Repex_Splits,MATCH($I42,Act_Type_Repex,0),MATCH(BI$4,Mat_Type,0))*INDEX(Escalators!$I$44:$U$49,MATCH(BI$4,Escalators!$C$44:$C$49,0),MATCH(BI$5,Escalators!$I$43:$U$43,0))</f>
        <v>0</v>
      </c>
      <c r="BJ42" s="47">
        <f>INDEX(Direct_Cost_Splits_Network,MATCH($H42,RIN_Asset_Cat_Network,0),MATCH($BK$4,Direct_Cost_Type,0))*$O42*INDEX(Act_Type_Repex_Splits,MATCH($I42,Act_Type_Repex,0),MATCH(BJ$4,Mat_Type,0))*INDEX(Escalators!$I$44:$U$49,MATCH(BJ$4,Escalators!$C$44:$C$49,0),MATCH(BJ$5,Escalators!$I$43:$U$43,0))</f>
        <v>0</v>
      </c>
      <c r="BK42" s="47">
        <f>SUM(BF42:BJ42)</f>
        <v>0</v>
      </c>
      <c r="BL42" s="47">
        <f>INDEX(Direct_Cost_Splits_Network,MATCH($H42,RIN_Asset_Cat_Network,0),MATCH($BQ$4,Direct_Cost_Type,0))*$P42*INDEX(Act_Type_Repex_Splits,MATCH($I42,Act_Type_Repex,0),MATCH(BL$4,Mat_Type,0))*INDEX(Escalators!$I$44:$U$49,MATCH(BL$4,Escalators!$C$44:$C$49,0),MATCH(BL$5,Escalators!$I$43:$U$43,0))</f>
        <v>0</v>
      </c>
      <c r="BM42" s="47">
        <f>INDEX(Direct_Cost_Splits_Network,MATCH($H42,RIN_Asset_Cat_Network,0),MATCH($BQ$4,Direct_Cost_Type,0))*$P42*INDEX(Act_Type_Repex_Splits,MATCH($I42,Act_Type_Repex,0),MATCH(BM$4,Mat_Type,0))*INDEX(Escalators!$I$44:$U$49,MATCH(BM$4,Escalators!$C$44:$C$49,0),MATCH(BM$5,Escalators!$I$43:$U$43,0))</f>
        <v>0</v>
      </c>
      <c r="BN42" s="47">
        <f>INDEX(Direct_Cost_Splits_Network,MATCH($H42,RIN_Asset_Cat_Network,0),MATCH($BQ$4,Direct_Cost_Type,0))*$P42*INDEX(Act_Type_Repex_Splits,MATCH($I42,Act_Type_Repex,0),MATCH(BN$4,Mat_Type,0))*INDEX(Escalators!$I$44:$U$49,MATCH(BN$4,Escalators!$C$44:$C$49,0),MATCH(BN$5,Escalators!$I$43:$U$43,0))</f>
        <v>0</v>
      </c>
      <c r="BO42" s="47">
        <f>INDEX(Direct_Cost_Splits_Network,MATCH($H42,RIN_Asset_Cat_Network,0),MATCH($BQ$4,Direct_Cost_Type,0))*$P42*INDEX(Act_Type_Repex_Splits,MATCH($I42,Act_Type_Repex,0),MATCH(BO$4,Mat_Type,0))*INDEX(Escalators!$I$44:$U$49,MATCH(BO$4,Escalators!$C$44:$C$49,0),MATCH(BO$5,Escalators!$I$43:$U$43,0))</f>
        <v>0</v>
      </c>
      <c r="BP42" s="47">
        <f>INDEX(Direct_Cost_Splits_Network,MATCH($H42,RIN_Asset_Cat_Network,0),MATCH($BQ$4,Direct_Cost_Type,0))*$P42*INDEX(Act_Type_Repex_Splits,MATCH($I42,Act_Type_Repex,0),MATCH(BP$4,Mat_Type,0))*INDEX(Escalators!$I$44:$U$49,MATCH(BP$4,Escalators!$C$44:$C$49,0),MATCH(BP$5,Escalators!$I$43:$U$43,0))</f>
        <v>0</v>
      </c>
      <c r="BQ42" s="47">
        <f>SUM(BL42:BP42)</f>
        <v>0</v>
      </c>
      <c r="BR42" s="47">
        <f>INDEX(Direct_Cost_Splits_Network,MATCH($H42,RIN_Asset_Cat_Network,0),MATCH($BW$4,Direct_Cost_Type,0))*$Q42*INDEX(Act_Type_Repex_Splits,MATCH($I42,Act_Type_Repex,0),MATCH(BR$4,Mat_Type,0))*INDEX(Escalators!$I$44:$U$49,MATCH(BR$4,Escalators!$C$44:$C$49,0),MATCH(BR$5,Escalators!$I$43:$U$43,0))</f>
        <v>0</v>
      </c>
      <c r="BS42" s="47">
        <f>INDEX(Direct_Cost_Splits_Network,MATCH($H42,RIN_Asset_Cat_Network,0),MATCH($BW$4,Direct_Cost_Type,0))*$Q42*INDEX(Act_Type_Repex_Splits,MATCH($I42,Act_Type_Repex,0),MATCH(BS$4,Mat_Type,0))*INDEX(Escalators!$I$44:$U$49,MATCH(BS$4,Escalators!$C$44:$C$49,0),MATCH(BS$5,Escalators!$I$43:$U$43,0))</f>
        <v>0</v>
      </c>
      <c r="BT42" s="47">
        <f>INDEX(Direct_Cost_Splits_Network,MATCH($H42,RIN_Asset_Cat_Network,0),MATCH($BW$4,Direct_Cost_Type,0))*$Q42*INDEX(Act_Type_Repex_Splits,MATCH($I42,Act_Type_Repex,0),MATCH(BT$4,Mat_Type,0))*INDEX(Escalators!$I$44:$U$49,MATCH(BT$4,Escalators!$C$44:$C$49,0),MATCH(BT$5,Escalators!$I$43:$U$43,0))</f>
        <v>0</v>
      </c>
      <c r="BU42" s="47">
        <f>INDEX(Direct_Cost_Splits_Network,MATCH($H42,RIN_Asset_Cat_Network,0),MATCH($BW$4,Direct_Cost_Type,0))*$Q42*INDEX(Act_Type_Repex_Splits,MATCH($I42,Act_Type_Repex,0),MATCH(BU$4,Mat_Type,0))*INDEX(Escalators!$I$44:$U$49,MATCH(BU$4,Escalators!$C$44:$C$49,0),MATCH(BU$5,Escalators!$I$43:$U$43,0))</f>
        <v>0</v>
      </c>
      <c r="BV42" s="47">
        <f>INDEX(Direct_Cost_Splits_Network,MATCH($H42,RIN_Asset_Cat_Network,0),MATCH($BW$4,Direct_Cost_Type,0))*$Q42*INDEX(Act_Type_Repex_Splits,MATCH($I42,Act_Type_Repex,0),MATCH(BV$4,Mat_Type,0))*INDEX(Escalators!$I$44:$U$49,MATCH(BV$4,Escalators!$C$44:$C$49,0),MATCH(BV$5,Escalators!$I$43:$U$43,0))</f>
        <v>0</v>
      </c>
      <c r="BW42" s="47">
        <f>SUM(BR42:BV42)</f>
        <v>0</v>
      </c>
      <c r="BY42" s="47">
        <f>INDEX(Lab_Mat!$D$13:$G$22,MATCH($H42,Lab_Mat!$C$13:$C$22,0),MATCH($BY$4,Lab_Mat!$D$5:$G$5,0))*J42</f>
        <v>0</v>
      </c>
      <c r="BZ42" s="47">
        <f>INDEX(Lab_Mat!$D$13:$G$22,MATCH($H42,Lab_Mat!$C$13:$C$22,0),MATCH($BY$4,Lab_Mat!$D$5:$G$5,0))*K42</f>
        <v>0</v>
      </c>
      <c r="CA42" s="47">
        <f>INDEX(Lab_Mat!$D$13:$G$22,MATCH($H42,Lab_Mat!$C$13:$C$22,0),MATCH($BY$4,Lab_Mat!$D$5:$G$5,0))*L42</f>
        <v>0</v>
      </c>
      <c r="CB42" s="47">
        <f>INDEX(Lab_Mat!$D$13:$G$22,MATCH($H42,Lab_Mat!$C$13:$C$22,0),MATCH($BY$4,Lab_Mat!$D$5:$G$5,0))*M42</f>
        <v>0</v>
      </c>
      <c r="CC42" s="47">
        <f>INDEX(Lab_Mat!$D$13:$G$22,MATCH($H42,Lab_Mat!$C$13:$C$22,0),MATCH($BY$4,Lab_Mat!$D$5:$G$5,0))*N42</f>
        <v>0</v>
      </c>
      <c r="CD42" s="47">
        <f>INDEX(Lab_Mat!$D$13:$G$22,MATCH($H42,Lab_Mat!$C$13:$C$22,0),MATCH($BY$4,Lab_Mat!$D$5:$G$5,0))*O42</f>
        <v>0</v>
      </c>
      <c r="CE42" s="47">
        <f>INDEX(Lab_Mat!$D$13:$G$22,MATCH($H42,Lab_Mat!$C$13:$C$22,0),MATCH($BY$4,Lab_Mat!$D$5:$G$5,0))*P42</f>
        <v>0</v>
      </c>
      <c r="CF42" s="47">
        <f>INDEX(Lab_Mat!$D$13:$G$22,MATCH($H42,Lab_Mat!$C$13:$C$22,0),MATCH($BY$4,Lab_Mat!$D$5:$G$5,0))*Q42</f>
        <v>0</v>
      </c>
      <c r="CH42" s="83">
        <f>INDEX(Lab_Mat!$D$13:$G$22,MATCH($H42,Lab_Mat!$C$13:$C$22,0),MATCH($CH$4,Lab_Mat!$D$5:$G$5,0))*J42</f>
        <v>0</v>
      </c>
      <c r="CI42" s="83">
        <f>INDEX(Lab_Mat!$D$13:$G$22,MATCH($H42,Lab_Mat!$C$13:$C$22,0),MATCH($CH$4,Lab_Mat!$D$5:$G$5,0))*K42</f>
        <v>0</v>
      </c>
      <c r="CJ42" s="83">
        <f>INDEX(Lab_Mat!$D$13:$G$22,MATCH($H42,Lab_Mat!$C$13:$C$22,0),MATCH($CH$4,Lab_Mat!$D$5:$G$5,0))*L42</f>
        <v>0</v>
      </c>
      <c r="CK42" s="83">
        <f>INDEX(Lab_Mat!$D$13:$G$22,MATCH($H42,Lab_Mat!$C$13:$C$22,0),MATCH($CH$4,Lab_Mat!$D$5:$G$5,0))*M42</f>
        <v>0</v>
      </c>
      <c r="CL42" s="83">
        <f>INDEX(Lab_Mat!$D$13:$G$22,MATCH($H42,Lab_Mat!$C$13:$C$22,0),MATCH($CH$4,Lab_Mat!$D$5:$G$5,0))*N42</f>
        <v>0</v>
      </c>
      <c r="CM42" s="83">
        <f>INDEX(Lab_Mat!$D$13:$G$22,MATCH($H42,Lab_Mat!$C$13:$C$22,0),MATCH($CH$4,Lab_Mat!$D$5:$G$5,0))*O42</f>
        <v>0</v>
      </c>
      <c r="CN42" s="83">
        <f>INDEX(Lab_Mat!$D$13:$G$22,MATCH($H42,Lab_Mat!$C$13:$C$22,0),MATCH($CH$4,Lab_Mat!$D$5:$G$5,0))*P42</f>
        <v>0</v>
      </c>
      <c r="CO42" s="83">
        <f>INDEX(Lab_Mat!$D$13:$G$22,MATCH($H42,Lab_Mat!$C$13:$C$22,0),MATCH($CH$4,Lab_Mat!$D$5:$G$5,0))*Q42</f>
        <v>0</v>
      </c>
      <c r="CQ42" s="47">
        <f>S42+AG42+BY42+CH42</f>
        <v>0</v>
      </c>
      <c r="CR42" s="47">
        <f>T42+AM42+BZ42+CI42</f>
        <v>0</v>
      </c>
      <c r="CS42" s="47">
        <f>U42+AS42+CA42+CJ42</f>
        <v>0</v>
      </c>
      <c r="CT42" s="47">
        <f>V42+AY42+CB42+CK42</f>
        <v>0</v>
      </c>
      <c r="CU42" s="47">
        <f>W42+BE42+CC42+CL42</f>
        <v>0</v>
      </c>
      <c r="CV42" s="47">
        <f>X42+BK42+CD42+CM42</f>
        <v>0</v>
      </c>
      <c r="CW42" s="47">
        <f>Y42+BQ42+CE42+CN42</f>
        <v>0</v>
      </c>
      <c r="CX42" s="47">
        <f>Z42+BW42+CF42+CO42</f>
        <v>0</v>
      </c>
      <c r="CZ42" s="39"/>
    </row>
    <row r="43" spans="2:104" outlineLevel="1" x14ac:dyDescent="0.3">
      <c r="B43" s="7"/>
      <c r="C43" s="7"/>
      <c r="D43" s="7"/>
      <c r="E43" s="7"/>
      <c r="F43" s="7"/>
      <c r="G43" s="7"/>
      <c r="H43" s="7"/>
      <c r="I43" s="7"/>
      <c r="J43" s="45"/>
      <c r="K43" s="45"/>
      <c r="L43" s="45"/>
      <c r="M43" s="45"/>
      <c r="N43" s="45"/>
      <c r="O43" s="45"/>
      <c r="P43" s="45"/>
      <c r="Q43" s="45"/>
      <c r="S43" s="47"/>
      <c r="T43" s="47"/>
      <c r="U43" s="47"/>
      <c r="V43" s="47"/>
      <c r="W43" s="47"/>
      <c r="X43" s="47"/>
      <c r="Y43" s="47"/>
      <c r="Z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Y43" s="47"/>
      <c r="BZ43" s="47"/>
      <c r="CA43" s="47"/>
      <c r="CB43" s="47"/>
      <c r="CC43" s="47"/>
      <c r="CD43" s="47"/>
      <c r="CE43" s="47"/>
      <c r="CF43" s="47"/>
      <c r="CH43" s="83"/>
      <c r="CI43" s="83"/>
      <c r="CJ43" s="83"/>
      <c r="CK43" s="83"/>
      <c r="CL43" s="83"/>
      <c r="CM43" s="83"/>
      <c r="CN43" s="83"/>
      <c r="CO43" s="83"/>
      <c r="CQ43" s="47">
        <f>S43+AG43+BY43+CH43</f>
        <v>0</v>
      </c>
      <c r="CR43" s="47">
        <f t="shared" ref="CR43:CR44" si="39">T43+AM43+BZ43+CI43</f>
        <v>0</v>
      </c>
      <c r="CS43" s="47">
        <f t="shared" ref="CS43:CS44" si="40">U43+AS43+CA43+CJ43</f>
        <v>0</v>
      </c>
      <c r="CT43" s="47">
        <f t="shared" ref="CT43:CT44" si="41">V43+AY43+CB43+CK43</f>
        <v>0</v>
      </c>
      <c r="CU43" s="47">
        <f t="shared" ref="CU43:CU44" si="42">W43+BE43+CC43+CL43</f>
        <v>0</v>
      </c>
      <c r="CV43" s="47">
        <f t="shared" ref="CV43:CV44" si="43">X43+BK43+CD43+CM43</f>
        <v>0</v>
      </c>
      <c r="CW43" s="47">
        <f t="shared" ref="CW43:CW44" si="44">Y43+BQ43+CE43+CN43</f>
        <v>0</v>
      </c>
      <c r="CX43" s="47">
        <f t="shared" ref="CX43:CX44" si="45">Z43+BW43+CF43+CO43</f>
        <v>0</v>
      </c>
      <c r="CZ43" s="39"/>
    </row>
    <row r="44" spans="2:104" outlineLevel="1" x14ac:dyDescent="0.3">
      <c r="B44" s="7"/>
      <c r="C44" s="7"/>
      <c r="D44" s="7"/>
      <c r="E44" s="7"/>
      <c r="F44" s="7"/>
      <c r="G44" s="7"/>
      <c r="H44" s="7"/>
      <c r="I44" s="7"/>
      <c r="J44" s="45"/>
      <c r="K44" s="45"/>
      <c r="L44" s="45"/>
      <c r="M44" s="45"/>
      <c r="N44" s="45"/>
      <c r="O44" s="45"/>
      <c r="P44" s="45"/>
      <c r="Q44" s="45"/>
      <c r="S44" s="47"/>
      <c r="T44" s="47"/>
      <c r="U44" s="47"/>
      <c r="V44" s="47"/>
      <c r="W44" s="47"/>
      <c r="X44" s="47"/>
      <c r="Y44" s="47"/>
      <c r="Z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Y44" s="47"/>
      <c r="BZ44" s="47"/>
      <c r="CA44" s="47"/>
      <c r="CB44" s="47"/>
      <c r="CC44" s="47"/>
      <c r="CD44" s="47"/>
      <c r="CE44" s="47"/>
      <c r="CF44" s="47"/>
      <c r="CH44" s="83"/>
      <c r="CI44" s="83"/>
      <c r="CJ44" s="83"/>
      <c r="CK44" s="83"/>
      <c r="CL44" s="83"/>
      <c r="CM44" s="83"/>
      <c r="CN44" s="83"/>
      <c r="CO44" s="83"/>
      <c r="CQ44" s="47">
        <f>S44+AG44+BY44+CH44</f>
        <v>0</v>
      </c>
      <c r="CR44" s="47">
        <f t="shared" si="39"/>
        <v>0</v>
      </c>
      <c r="CS44" s="47">
        <f t="shared" si="40"/>
        <v>0</v>
      </c>
      <c r="CT44" s="47">
        <f t="shared" si="41"/>
        <v>0</v>
      </c>
      <c r="CU44" s="47">
        <f t="shared" si="42"/>
        <v>0</v>
      </c>
      <c r="CV44" s="47">
        <f t="shared" si="43"/>
        <v>0</v>
      </c>
      <c r="CW44" s="47">
        <f t="shared" si="44"/>
        <v>0</v>
      </c>
      <c r="CX44" s="47">
        <f t="shared" si="45"/>
        <v>0</v>
      </c>
      <c r="CZ44" s="39"/>
    </row>
    <row r="45" spans="2:104" outlineLevel="1" x14ac:dyDescent="0.3">
      <c r="J45" s="48">
        <f>SUM(J42:J44)</f>
        <v>0</v>
      </c>
      <c r="K45" s="48">
        <f>SUM(K42:K44)</f>
        <v>0</v>
      </c>
      <c r="L45" s="48">
        <f>SUM(L42:L44)</f>
        <v>0</v>
      </c>
      <c r="M45" s="48">
        <f t="shared" ref="M45:Q45" si="46">SUM(M42:M44)</f>
        <v>0</v>
      </c>
      <c r="N45" s="48">
        <f t="shared" si="46"/>
        <v>0</v>
      </c>
      <c r="O45" s="48">
        <f t="shared" si="46"/>
        <v>0</v>
      </c>
      <c r="P45" s="48">
        <f t="shared" si="46"/>
        <v>0</v>
      </c>
      <c r="Q45" s="48">
        <f t="shared" si="46"/>
        <v>0</v>
      </c>
      <c r="S45" s="48">
        <f>SUM(S42:S44)</f>
        <v>0</v>
      </c>
      <c r="T45" s="48">
        <f>SUM(T42:T44)</f>
        <v>0</v>
      </c>
      <c r="U45" s="48">
        <f>SUM(U42:U44)</f>
        <v>0</v>
      </c>
      <c r="V45" s="48">
        <f t="shared" ref="V45" si="47">SUM(V42:V44)</f>
        <v>0</v>
      </c>
      <c r="W45" s="48">
        <f t="shared" ref="W45" si="48">SUM(W42:W44)</f>
        <v>0</v>
      </c>
      <c r="X45" s="48">
        <f t="shared" ref="X45" si="49">SUM(X42:X44)</f>
        <v>0</v>
      </c>
      <c r="Y45" s="48">
        <f t="shared" ref="Y45" si="50">SUM(Y42:Y44)</f>
        <v>0</v>
      </c>
      <c r="Z45" s="48">
        <f t="shared" ref="Z45" si="51">SUM(Z42:Z44)</f>
        <v>0</v>
      </c>
      <c r="AB45" s="48">
        <f t="shared" ref="AB45" si="52">SUM(AB42:AB44)</f>
        <v>0</v>
      </c>
      <c r="AC45" s="48">
        <f t="shared" ref="AC45" si="53">SUM(AC42:AC44)</f>
        <v>0</v>
      </c>
      <c r="AD45" s="48">
        <f t="shared" ref="AD45" si="54">SUM(AD42:AD44)</f>
        <v>0</v>
      </c>
      <c r="AE45" s="48">
        <f t="shared" ref="AE45" si="55">SUM(AE42:AE44)</f>
        <v>0</v>
      </c>
      <c r="AF45" s="48">
        <f t="shared" ref="AF45" si="56">SUM(AF42:AF44)</f>
        <v>0</v>
      </c>
      <c r="AG45" s="48">
        <f t="shared" ref="AG45:AS45" si="57">SUM(AG42:AG44)</f>
        <v>0</v>
      </c>
      <c r="AH45" s="48">
        <f t="shared" si="57"/>
        <v>0</v>
      </c>
      <c r="AI45" s="48">
        <f t="shared" si="57"/>
        <v>0</v>
      </c>
      <c r="AJ45" s="48">
        <f t="shared" si="57"/>
        <v>0</v>
      </c>
      <c r="AK45" s="48">
        <f t="shared" si="57"/>
        <v>0</v>
      </c>
      <c r="AL45" s="48">
        <f t="shared" si="57"/>
        <v>0</v>
      </c>
      <c r="AM45" s="48">
        <f t="shared" si="57"/>
        <v>0</v>
      </c>
      <c r="AN45" s="48">
        <f t="shared" si="57"/>
        <v>0</v>
      </c>
      <c r="AO45" s="48">
        <f t="shared" si="57"/>
        <v>0</v>
      </c>
      <c r="AP45" s="48">
        <f t="shared" si="57"/>
        <v>0</v>
      </c>
      <c r="AQ45" s="48">
        <f t="shared" si="57"/>
        <v>0</v>
      </c>
      <c r="AR45" s="48">
        <f t="shared" si="57"/>
        <v>0</v>
      </c>
      <c r="AS45" s="48">
        <f t="shared" si="57"/>
        <v>0</v>
      </c>
      <c r="AT45" s="48">
        <f t="shared" ref="AT45" si="58">SUM(AT42:AT44)</f>
        <v>0</v>
      </c>
      <c r="AU45" s="48">
        <f t="shared" ref="AU45" si="59">SUM(AU42:AU44)</f>
        <v>0</v>
      </c>
      <c r="AV45" s="48">
        <f t="shared" ref="AV45" si="60">SUM(AV42:AV44)</f>
        <v>0</v>
      </c>
      <c r="AW45" s="48">
        <f t="shared" ref="AW45" si="61">SUM(AW42:AW44)</f>
        <v>0</v>
      </c>
      <c r="AX45" s="48">
        <f t="shared" ref="AX45" si="62">SUM(AX42:AX44)</f>
        <v>0</v>
      </c>
      <c r="AY45" s="48">
        <f t="shared" ref="AY45" si="63">SUM(AY42:AY44)</f>
        <v>0</v>
      </c>
      <c r="AZ45" s="48">
        <f t="shared" ref="AZ45" si="64">SUM(AZ42:AZ44)</f>
        <v>0</v>
      </c>
      <c r="BA45" s="48">
        <f t="shared" ref="BA45" si="65">SUM(BA42:BA44)</f>
        <v>0</v>
      </c>
      <c r="BB45" s="48">
        <f t="shared" ref="BB45" si="66">SUM(BB42:BB44)</f>
        <v>0</v>
      </c>
      <c r="BC45" s="48">
        <f t="shared" ref="BC45" si="67">SUM(BC42:BC44)</f>
        <v>0</v>
      </c>
      <c r="BD45" s="48">
        <f t="shared" ref="BD45" si="68">SUM(BD42:BD44)</f>
        <v>0</v>
      </c>
      <c r="BE45" s="48">
        <f t="shared" ref="BE45" si="69">SUM(BE42:BE44)</f>
        <v>0</v>
      </c>
      <c r="BF45" s="48">
        <f t="shared" ref="BF45" si="70">SUM(BF42:BF44)</f>
        <v>0</v>
      </c>
      <c r="BG45" s="48">
        <f t="shared" ref="BG45" si="71">SUM(BG42:BG44)</f>
        <v>0</v>
      </c>
      <c r="BH45" s="48">
        <f t="shared" ref="BH45" si="72">SUM(BH42:BH44)</f>
        <v>0</v>
      </c>
      <c r="BI45" s="48">
        <f t="shared" ref="BI45" si="73">SUM(BI42:BI44)</f>
        <v>0</v>
      </c>
      <c r="BJ45" s="48">
        <f t="shared" ref="BJ45" si="74">SUM(BJ42:BJ44)</f>
        <v>0</v>
      </c>
      <c r="BK45" s="48">
        <f t="shared" ref="BK45" si="75">SUM(BK42:BK44)</f>
        <v>0</v>
      </c>
      <c r="BL45" s="48">
        <f t="shared" ref="BL45" si="76">SUM(BL42:BL44)</f>
        <v>0</v>
      </c>
      <c r="BM45" s="48">
        <f t="shared" ref="BM45" si="77">SUM(BM42:BM44)</f>
        <v>0</v>
      </c>
      <c r="BN45" s="48">
        <f t="shared" ref="BN45" si="78">SUM(BN42:BN44)</f>
        <v>0</v>
      </c>
      <c r="BO45" s="48">
        <f t="shared" ref="BO45" si="79">SUM(BO42:BO44)</f>
        <v>0</v>
      </c>
      <c r="BP45" s="48">
        <f t="shared" ref="BP45" si="80">SUM(BP42:BP44)</f>
        <v>0</v>
      </c>
      <c r="BQ45" s="48">
        <f t="shared" ref="BQ45" si="81">SUM(BQ42:BQ44)</f>
        <v>0</v>
      </c>
      <c r="BR45" s="48">
        <f t="shared" ref="BR45" si="82">SUM(BR42:BR44)</f>
        <v>0</v>
      </c>
      <c r="BS45" s="48">
        <f t="shared" ref="BS45" si="83">SUM(BS42:BS44)</f>
        <v>0</v>
      </c>
      <c r="BT45" s="48">
        <f t="shared" ref="BT45" si="84">SUM(BT42:BT44)</f>
        <v>0</v>
      </c>
      <c r="BU45" s="48">
        <f t="shared" ref="BU45" si="85">SUM(BU42:BU44)</f>
        <v>0</v>
      </c>
      <c r="BV45" s="48">
        <f t="shared" ref="BV45" si="86">SUM(BV42:BV44)</f>
        <v>0</v>
      </c>
      <c r="BW45" s="48">
        <f t="shared" ref="BW45" si="87">SUM(BW42:BW44)</f>
        <v>0</v>
      </c>
      <c r="BY45" s="48">
        <f>SUM(BY42:BY44)</f>
        <v>0</v>
      </c>
      <c r="BZ45" s="48">
        <f>SUM(BZ42:BZ44)</f>
        <v>0</v>
      </c>
      <c r="CA45" s="48">
        <f>SUM(CA42:CA44)</f>
        <v>0</v>
      </c>
      <c r="CB45" s="48">
        <f t="shared" ref="CB45" si="88">SUM(CB42:CB44)</f>
        <v>0</v>
      </c>
      <c r="CC45" s="48">
        <f t="shared" ref="CC45" si="89">SUM(CC42:CC44)</f>
        <v>0</v>
      </c>
      <c r="CD45" s="48">
        <f t="shared" ref="CD45" si="90">SUM(CD42:CD44)</f>
        <v>0</v>
      </c>
      <c r="CE45" s="48">
        <f t="shared" ref="CE45" si="91">SUM(CE42:CE44)</f>
        <v>0</v>
      </c>
      <c r="CF45" s="48">
        <f t="shared" ref="CF45" si="92">SUM(CF42:CF44)</f>
        <v>0</v>
      </c>
      <c r="CH45" s="48">
        <f>SUM(CH42:CH44)</f>
        <v>0</v>
      </c>
      <c r="CI45" s="48">
        <f>SUM(CI42:CI44)</f>
        <v>0</v>
      </c>
      <c r="CJ45" s="48">
        <f>SUM(CJ42:CJ44)</f>
        <v>0</v>
      </c>
      <c r="CK45" s="48">
        <f>SUM(CK42:CK44)</f>
        <v>0</v>
      </c>
      <c r="CL45" s="48">
        <f t="shared" ref="CL45" si="93">SUM(CL42:CL44)</f>
        <v>0</v>
      </c>
      <c r="CM45" s="48">
        <f t="shared" ref="CM45" si="94">SUM(CM42:CM44)</f>
        <v>0</v>
      </c>
      <c r="CN45" s="48">
        <f t="shared" ref="CN45" si="95">SUM(CN42:CN44)</f>
        <v>0</v>
      </c>
      <c r="CO45" s="48">
        <f t="shared" ref="CO45" si="96">SUM(CO42:CO44)</f>
        <v>0</v>
      </c>
      <c r="CQ45" s="48">
        <f>SUM(CQ42:CQ44)</f>
        <v>0</v>
      </c>
      <c r="CR45" s="48">
        <f>SUM(CR42:CR44)</f>
        <v>0</v>
      </c>
      <c r="CS45" s="48">
        <f>SUM(CS42:CS44)</f>
        <v>0</v>
      </c>
      <c r="CT45" s="48">
        <f t="shared" ref="CT45" si="97">SUM(CT42:CT44)</f>
        <v>0</v>
      </c>
      <c r="CU45" s="48">
        <f t="shared" ref="CU45" si="98">SUM(CU42:CU44)</f>
        <v>0</v>
      </c>
      <c r="CV45" s="48">
        <f t="shared" ref="CV45" si="99">SUM(CV42:CV44)</f>
        <v>0</v>
      </c>
      <c r="CW45" s="48">
        <f t="shared" ref="CW45" si="100">SUM(CW42:CW44)</f>
        <v>0</v>
      </c>
      <c r="CX45" s="48">
        <f t="shared" ref="CX45" si="101">SUM(CX42:CX44)</f>
        <v>0</v>
      </c>
    </row>
    <row r="46" spans="2:104" outlineLevel="1" x14ac:dyDescent="0.3">
      <c r="S46" s="34"/>
      <c r="BY46" s="34"/>
      <c r="CQ46" s="85"/>
      <c r="CR46" s="85"/>
      <c r="CS46" s="85"/>
      <c r="CT46" s="85"/>
      <c r="CU46" s="85"/>
      <c r="CV46" s="85"/>
      <c r="CW46" s="85"/>
      <c r="CX46" s="85"/>
    </row>
    <row r="47" spans="2:104" x14ac:dyDescent="0.3">
      <c r="I47" s="1" t="s">
        <v>134</v>
      </c>
      <c r="J47" s="47">
        <f>ESL_1!T38</f>
        <v>0</v>
      </c>
      <c r="K47" s="47">
        <f>ESL_1!U38</f>
        <v>0</v>
      </c>
      <c r="L47" s="47">
        <f>ESL_1!V38</f>
        <v>0</v>
      </c>
      <c r="M47" s="47">
        <f>ESL_1!W38</f>
        <v>0</v>
      </c>
      <c r="N47" s="47">
        <f>ESL_1!X38</f>
        <v>0</v>
      </c>
      <c r="O47" s="47">
        <f>ESL_1!Y38</f>
        <v>0</v>
      </c>
      <c r="P47" s="47">
        <f>ESL_1!Z38</f>
        <v>0</v>
      </c>
      <c r="Q47" s="47">
        <f>ESL_1!AA38</f>
        <v>0</v>
      </c>
      <c r="CT47" s="161"/>
      <c r="CU47" s="161"/>
      <c r="CV47" s="161"/>
      <c r="CW47" s="161"/>
      <c r="CX47" s="161"/>
    </row>
    <row r="48" spans="2:104" x14ac:dyDescent="0.3">
      <c r="I48" s="1" t="s">
        <v>135</v>
      </c>
      <c r="J48" s="47">
        <f t="shared" ref="J48:Q48" si="102">J37+J45</f>
        <v>0</v>
      </c>
      <c r="K48" s="47">
        <f t="shared" si="102"/>
        <v>0</v>
      </c>
      <c r="L48" s="47">
        <f t="shared" ref="L48" si="103">L37+L45</f>
        <v>0</v>
      </c>
      <c r="M48" s="47">
        <f t="shared" si="102"/>
        <v>580</v>
      </c>
      <c r="N48" s="47">
        <f t="shared" si="102"/>
        <v>580</v>
      </c>
      <c r="O48" s="47">
        <f t="shared" si="102"/>
        <v>580</v>
      </c>
      <c r="P48" s="47">
        <f t="shared" si="102"/>
        <v>580</v>
      </c>
      <c r="Q48" s="47">
        <f t="shared" si="102"/>
        <v>580</v>
      </c>
      <c r="CT48" s="39"/>
      <c r="CU48" s="39"/>
      <c r="CV48" s="39"/>
      <c r="CW48" s="39"/>
      <c r="CX48" s="39"/>
    </row>
    <row r="49" spans="9:103" x14ac:dyDescent="0.3">
      <c r="I49" s="2" t="s">
        <v>136</v>
      </c>
      <c r="J49" s="48">
        <f t="shared" ref="J49:Q49" si="104">SUM(J47:J48)</f>
        <v>0</v>
      </c>
      <c r="K49" s="48">
        <f t="shared" si="104"/>
        <v>0</v>
      </c>
      <c r="L49" s="48">
        <f t="shared" ref="L49" si="105">SUM(L47:L48)</f>
        <v>0</v>
      </c>
      <c r="M49" s="48">
        <f t="shared" si="104"/>
        <v>580</v>
      </c>
      <c r="N49" s="48">
        <f t="shared" si="104"/>
        <v>580</v>
      </c>
      <c r="O49" s="48">
        <f t="shared" si="104"/>
        <v>580</v>
      </c>
      <c r="P49" s="48">
        <f t="shared" si="104"/>
        <v>580</v>
      </c>
      <c r="Q49" s="48">
        <f t="shared" si="104"/>
        <v>580</v>
      </c>
    </row>
    <row r="50" spans="9:103" x14ac:dyDescent="0.3">
      <c r="Q50" s="51">
        <f>SUM(M49:Q49)</f>
        <v>2900</v>
      </c>
      <c r="CT50" s="161"/>
      <c r="CU50" s="161"/>
      <c r="CV50" s="161"/>
      <c r="CW50" s="161"/>
      <c r="CX50" s="161"/>
      <c r="CY50" s="185"/>
    </row>
    <row r="51" spans="9:103" x14ac:dyDescent="0.3">
      <c r="I51" s="53" t="s">
        <v>147</v>
      </c>
      <c r="J51" s="246"/>
      <c r="K51" s="246"/>
      <c r="L51" s="246"/>
      <c r="M51" s="579"/>
      <c r="N51" s="579"/>
      <c r="O51" s="579"/>
      <c r="P51" s="579"/>
      <c r="Q51" s="579"/>
      <c r="R51" s="41"/>
      <c r="CT51" s="161"/>
      <c r="CU51" s="161"/>
      <c r="CV51" s="161"/>
      <c r="CW51" s="161"/>
      <c r="CX51" s="161"/>
    </row>
    <row r="52" spans="9:103" x14ac:dyDescent="0.3">
      <c r="J52" s="246"/>
      <c r="K52" s="246"/>
      <c r="L52" s="246"/>
      <c r="M52" s="579"/>
      <c r="N52" s="579"/>
      <c r="O52" s="579"/>
      <c r="P52" s="579"/>
      <c r="Q52" s="579"/>
      <c r="R52" s="41"/>
      <c r="CT52" s="161"/>
      <c r="CU52" s="161"/>
      <c r="CV52" s="161"/>
      <c r="CW52" s="161"/>
      <c r="CX52" s="161"/>
    </row>
    <row r="53" spans="9:103" x14ac:dyDescent="0.3">
      <c r="J53" s="246"/>
      <c r="K53" s="246"/>
      <c r="L53" s="246"/>
      <c r="M53" s="579"/>
      <c r="N53" s="579"/>
      <c r="O53" s="579"/>
      <c r="P53" s="579"/>
      <c r="Q53" s="579"/>
      <c r="R53" s="41"/>
    </row>
    <row r="54" spans="9:103" x14ac:dyDescent="0.3">
      <c r="J54" s="246"/>
      <c r="K54" s="246"/>
      <c r="L54" s="246"/>
      <c r="M54" s="579"/>
      <c r="N54" s="579"/>
      <c r="O54" s="579"/>
      <c r="P54" s="579"/>
      <c r="Q54" s="579"/>
      <c r="R54" s="41"/>
    </row>
    <row r="55" spans="9:103" x14ac:dyDescent="0.3">
      <c r="J55" s="246"/>
      <c r="K55" s="246"/>
      <c r="L55" s="246"/>
      <c r="M55" s="246"/>
      <c r="N55" s="246"/>
      <c r="O55" s="246"/>
      <c r="P55" s="246"/>
      <c r="Q55" s="246"/>
      <c r="R55" s="41"/>
    </row>
    <row r="56" spans="9:103" x14ac:dyDescent="0.3">
      <c r="J56" s="246"/>
      <c r="K56" s="246"/>
      <c r="L56" s="246"/>
      <c r="M56" s="579"/>
      <c r="N56" s="579"/>
      <c r="O56" s="579"/>
      <c r="P56" s="579"/>
      <c r="Q56" s="579"/>
      <c r="R56" s="41"/>
    </row>
    <row r="59" spans="9:103" x14ac:dyDescent="0.3">
      <c r="M59" s="39"/>
      <c r="N59" s="39"/>
      <c r="O59" s="39"/>
      <c r="P59" s="39"/>
      <c r="Q59" s="39"/>
    </row>
    <row r="60" spans="9:103" x14ac:dyDescent="0.3">
      <c r="M60" s="39"/>
      <c r="N60" s="39"/>
      <c r="O60" s="39"/>
      <c r="P60" s="39"/>
      <c r="Q60" s="39"/>
    </row>
  </sheetData>
  <dataConsolidate/>
  <mergeCells count="16">
    <mergeCell ref="J39:Q39"/>
    <mergeCell ref="CQ3:CX3"/>
    <mergeCell ref="J3:Q3"/>
    <mergeCell ref="S3:Z3"/>
    <mergeCell ref="BY3:CF3"/>
    <mergeCell ref="CH3:CO3"/>
    <mergeCell ref="CQ4:CX4"/>
    <mergeCell ref="CH4:CO4"/>
    <mergeCell ref="BY4:CF4"/>
    <mergeCell ref="S4:Z4"/>
    <mergeCell ref="J4:Q4"/>
    <mergeCell ref="J40:Q40"/>
    <mergeCell ref="S40:Z40"/>
    <mergeCell ref="BY40:CF40"/>
    <mergeCell ref="CH40:CO40"/>
    <mergeCell ref="CQ40:CX40"/>
  </mergeCells>
  <dataValidations count="3">
    <dataValidation type="list" errorStyle="warning" allowBlank="1" showInputMessage="1" showErrorMessage="1" prompt="Select from drop down list" sqref="H42:H44" xr:uid="{00000000-0002-0000-1000-000000000000}">
      <formula1>$C$13:$C$23</formula1>
    </dataValidation>
    <dataValidation type="list" errorStyle="warning" allowBlank="1" showInputMessage="1" showErrorMessage="1" prompt="Select from drop down list" sqref="I42:I44" xr:uid="{00000000-0002-0000-1000-000001000000}">
      <formula1>$C$55:$C$90</formula1>
    </dataValidation>
    <dataValidation type="list" errorStyle="warning" showInputMessage="1" showErrorMessage="1" error="Invalid data entered" prompt="Select from drop down list" sqref="F42:F44 G43:G44" xr:uid="{00000000-0002-0000-1000-000002000000}">
      <formula1>$C$16:$C$27</formula1>
    </dataValidation>
  </dataValidations>
  <hyperlinks>
    <hyperlink ref="B2" location="Contents!A1" display="Table of Contents" xr:uid="{00000000-0004-0000-1000-000000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6">
        <x14:dataValidation type="list" errorStyle="warning" showInputMessage="1" showErrorMessage="1" error="Invalid data entered" prompt="Select from drop down list" xr:uid="{00000000-0002-0000-1000-000003000000}">
          <x14:formula1>
            <xm:f>Lookups!$C$16:$C$27</xm:f>
          </x14:formula1>
          <xm:sqref>F6:F36</xm:sqref>
        </x14:dataValidation>
        <x14:dataValidation type="list" errorStyle="warning" showInputMessage="1" showErrorMessage="1" error="Invalid data entered" prompt="Select from drop down list" xr:uid="{00000000-0002-0000-1000-000004000000}">
          <x14:formula1>
            <xm:f>Lookups!$C$5:$C$13</xm:f>
          </x14:formula1>
          <xm:sqref>E6:E36 E42:E44</xm:sqref>
        </x14:dataValidation>
        <x14:dataValidation type="list" errorStyle="warning" allowBlank="1" showInputMessage="1" showErrorMessage="1" prompt="Select from drop down list" xr:uid="{00000000-0002-0000-1000-000005000000}">
          <x14:formula1>
            <xm:f>Lab_Mat!$C$62:$C$98</xm:f>
          </x14:formula1>
          <xm:sqref>I6:I36</xm:sqref>
        </x14:dataValidation>
        <x14:dataValidation type="list" errorStyle="warning" showInputMessage="1" showErrorMessage="1" error="Invalid data entered" prompt="Select from drop down list" xr:uid="{00000000-0002-0000-1000-000006000000}">
          <x14:formula1>
            <xm:f>Lookups!$I$5:$I$10</xm:f>
          </x14:formula1>
          <xm:sqref>G42 G6:G36</xm:sqref>
        </x14:dataValidation>
        <x14:dataValidation type="list" errorStyle="warning" allowBlank="1" showInputMessage="1" showErrorMessage="1" prompt="Select from drop down list" xr:uid="{00000000-0002-0000-1000-000007000000}">
          <x14:formula1>
            <xm:f>Lab_Mat!$C$13:$C$22</xm:f>
          </x14:formula1>
          <xm:sqref>H6:H10 H20:H36 H17:H18 H12:H14</xm:sqref>
        </x14:dataValidation>
        <x14:dataValidation type="list" errorStyle="warning" allowBlank="1" showInputMessage="1" showErrorMessage="1" prompt="Select from drop down list" xr:uid="{00000000-0002-0000-1000-000008000000}">
          <x14:formula1>
            <xm:f>Lab_Mat!$C$6:$C$22</xm:f>
          </x14:formula1>
          <xm:sqref>H11 H19 H15:H16</xm:sqref>
        </x14:dataValidation>
      </x14:dataValidations>
    </ex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1:DE57"/>
  <sheetViews>
    <sheetView zoomScale="70" zoomScaleNormal="70" zoomScalePageLayoutView="125" workbookViewId="0">
      <selection activeCell="L1" sqref="L1"/>
    </sheetView>
  </sheetViews>
  <sheetFormatPr defaultColWidth="8.88671875" defaultRowHeight="14.4" outlineLevelCol="1" x14ac:dyDescent="0.3"/>
  <cols>
    <col min="1" max="1" width="4" style="1" customWidth="1"/>
    <col min="2" max="2" width="8.88671875" style="1"/>
    <col min="3" max="3" width="51.109375" style="1" customWidth="1"/>
    <col min="4" max="4" width="20.33203125" style="1" customWidth="1"/>
    <col min="5" max="5" width="24.44140625" style="1" hidden="1" customWidth="1" outlineLevel="1"/>
    <col min="6" max="6" width="32.5546875" style="1" hidden="1" customWidth="1" outlineLevel="1"/>
    <col min="7" max="7" width="24.109375" style="1" hidden="1" customWidth="1" outlineLevel="1"/>
    <col min="8" max="8" width="19.109375" style="1" hidden="1" customWidth="1" outlineLevel="1"/>
    <col min="9" max="9" width="23.109375" style="1" hidden="1" customWidth="1" outlineLevel="1"/>
    <col min="10" max="10" width="9.6640625" style="1" customWidth="1" collapsed="1"/>
    <col min="11" max="12" width="9.6640625" style="1" customWidth="1"/>
    <col min="13" max="13" width="9.77734375" style="1" customWidth="1"/>
    <col min="14" max="17" width="9.6640625" style="1" customWidth="1"/>
    <col min="18" max="18" width="3" style="1" customWidth="1"/>
    <col min="19" max="26" width="8.88671875" style="1"/>
    <col min="27" max="27" width="2.6640625" style="1" customWidth="1"/>
    <col min="28" max="32" width="10.44140625" style="1" hidden="1" customWidth="1" outlineLevel="1"/>
    <col min="33" max="33" width="8.88671875" style="1" collapsed="1"/>
    <col min="34" max="38" width="10.44140625" style="1" hidden="1" customWidth="1" outlineLevel="1"/>
    <col min="39" max="39" width="8.88671875" style="1" collapsed="1"/>
    <col min="40" max="44" width="10.44140625" style="1" hidden="1" customWidth="1" outlineLevel="1"/>
    <col min="45" max="45" width="8.88671875" style="1" collapsed="1"/>
    <col min="46" max="50" width="10.44140625" style="1" hidden="1" customWidth="1" outlineLevel="1"/>
    <col min="51" max="51" width="8.88671875" style="1" collapsed="1"/>
    <col min="52" max="56" width="9.109375" style="1" hidden="1" customWidth="1" outlineLevel="1"/>
    <col min="57" max="57" width="8.88671875" style="1" collapsed="1"/>
    <col min="58" max="62" width="9.109375" style="1" hidden="1" customWidth="1" outlineLevel="1"/>
    <col min="63" max="63" width="8.88671875" style="1" collapsed="1"/>
    <col min="64" max="68" width="9.109375" style="1" hidden="1" customWidth="1" outlineLevel="1"/>
    <col min="69" max="69" width="8.88671875" style="1" collapsed="1"/>
    <col min="70" max="74" width="9.109375" style="1" hidden="1" customWidth="1" outlineLevel="1"/>
    <col min="75" max="75" width="8.88671875" style="1" collapsed="1"/>
    <col min="76" max="76" width="2.6640625" style="1" customWidth="1"/>
    <col min="77" max="84" width="8.88671875" style="1"/>
    <col min="85" max="85" width="2.88671875" style="1" customWidth="1"/>
    <col min="86" max="93" width="8.88671875" style="1"/>
    <col min="94" max="94" width="2.88671875" style="1" customWidth="1"/>
    <col min="95" max="96" width="10.5546875" style="1" bestFit="1" customWidth="1"/>
    <col min="97" max="97" width="10.5546875" style="1" customWidth="1"/>
    <col min="98" max="99" width="10.5546875" style="1" bestFit="1" customWidth="1"/>
    <col min="100" max="100" width="9.5546875" style="1" bestFit="1" customWidth="1"/>
    <col min="101" max="102" width="9" style="1" bestFit="1" customWidth="1"/>
    <col min="103" max="16384" width="8.88671875" style="1"/>
  </cols>
  <sheetData>
    <row r="1" spans="2:109" ht="18" x14ac:dyDescent="0.35">
      <c r="B1" s="10" t="s">
        <v>410</v>
      </c>
      <c r="M1" s="582"/>
      <c r="N1" s="582"/>
    </row>
    <row r="2" spans="2:109" x14ac:dyDescent="0.3">
      <c r="B2" s="25" t="s">
        <v>6</v>
      </c>
    </row>
    <row r="3" spans="2:109" x14ac:dyDescent="0.3">
      <c r="J3" s="592"/>
      <c r="K3" s="592"/>
      <c r="L3" s="592"/>
      <c r="M3" s="592"/>
      <c r="N3" s="592"/>
      <c r="O3" s="592"/>
      <c r="P3" s="592"/>
      <c r="Q3" s="592"/>
      <c r="S3" s="592"/>
      <c r="T3" s="592"/>
      <c r="U3" s="592"/>
      <c r="V3" s="592"/>
      <c r="W3" s="592"/>
      <c r="X3" s="592"/>
      <c r="Y3" s="592"/>
      <c r="Z3" s="592"/>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Y3" s="592"/>
      <c r="BZ3" s="592"/>
      <c r="CA3" s="592"/>
      <c r="CB3" s="592"/>
      <c r="CC3" s="592"/>
      <c r="CD3" s="592"/>
      <c r="CE3" s="592"/>
      <c r="CF3" s="592"/>
      <c r="CH3" s="592"/>
      <c r="CI3" s="592"/>
      <c r="CJ3" s="592"/>
      <c r="CK3" s="592"/>
      <c r="CL3" s="592"/>
      <c r="CM3" s="592"/>
      <c r="CN3" s="592"/>
      <c r="CO3" s="592"/>
      <c r="CQ3" s="592"/>
      <c r="CR3" s="592"/>
      <c r="CS3" s="592"/>
      <c r="CT3" s="592"/>
      <c r="CU3" s="592"/>
      <c r="CV3" s="592"/>
      <c r="CW3" s="592"/>
      <c r="CX3" s="592"/>
    </row>
    <row r="4" spans="2:109" ht="43.2" x14ac:dyDescent="0.3">
      <c r="J4" s="589" t="s">
        <v>531</v>
      </c>
      <c r="K4" s="590"/>
      <c r="L4" s="590"/>
      <c r="M4" s="590"/>
      <c r="N4" s="590"/>
      <c r="O4" s="590"/>
      <c r="P4" s="590"/>
      <c r="Q4" s="591"/>
      <c r="S4" s="589" t="s">
        <v>174</v>
      </c>
      <c r="T4" s="590"/>
      <c r="U4" s="590"/>
      <c r="V4" s="590"/>
      <c r="W4" s="590"/>
      <c r="X4" s="590"/>
      <c r="Y4" s="590"/>
      <c r="Z4" s="591"/>
      <c r="AA4" s="58"/>
      <c r="AB4" s="9" t="s">
        <v>180</v>
      </c>
      <c r="AC4" s="9" t="s">
        <v>181</v>
      </c>
      <c r="AD4" s="9" t="s">
        <v>182</v>
      </c>
      <c r="AE4" s="9" t="s">
        <v>183</v>
      </c>
      <c r="AF4" s="9" t="s">
        <v>5</v>
      </c>
      <c r="AG4" s="9" t="s">
        <v>173</v>
      </c>
      <c r="AH4" s="9" t="s">
        <v>180</v>
      </c>
      <c r="AI4" s="9" t="s">
        <v>181</v>
      </c>
      <c r="AJ4" s="9" t="s">
        <v>182</v>
      </c>
      <c r="AK4" s="9" t="s">
        <v>183</v>
      </c>
      <c r="AL4" s="9" t="s">
        <v>5</v>
      </c>
      <c r="AM4" s="9" t="s">
        <v>173</v>
      </c>
      <c r="AN4" s="9" t="s">
        <v>180</v>
      </c>
      <c r="AO4" s="9" t="s">
        <v>181</v>
      </c>
      <c r="AP4" s="9" t="s">
        <v>182</v>
      </c>
      <c r="AQ4" s="9" t="s">
        <v>183</v>
      </c>
      <c r="AR4" s="9" t="s">
        <v>5</v>
      </c>
      <c r="AS4" s="9" t="s">
        <v>173</v>
      </c>
      <c r="AT4" s="9" t="s">
        <v>180</v>
      </c>
      <c r="AU4" s="9" t="s">
        <v>181</v>
      </c>
      <c r="AV4" s="9" t="s">
        <v>182</v>
      </c>
      <c r="AW4" s="9" t="s">
        <v>183</v>
      </c>
      <c r="AX4" s="9" t="s">
        <v>5</v>
      </c>
      <c r="AY4" s="9" t="s">
        <v>173</v>
      </c>
      <c r="AZ4" s="9" t="s">
        <v>180</v>
      </c>
      <c r="BA4" s="9" t="s">
        <v>181</v>
      </c>
      <c r="BB4" s="9" t="s">
        <v>182</v>
      </c>
      <c r="BC4" s="9" t="s">
        <v>183</v>
      </c>
      <c r="BD4" s="9" t="s">
        <v>5</v>
      </c>
      <c r="BE4" s="9" t="s">
        <v>173</v>
      </c>
      <c r="BF4" s="9" t="s">
        <v>180</v>
      </c>
      <c r="BG4" s="9" t="s">
        <v>181</v>
      </c>
      <c r="BH4" s="9" t="s">
        <v>182</v>
      </c>
      <c r="BI4" s="9" t="s">
        <v>183</v>
      </c>
      <c r="BJ4" s="9" t="s">
        <v>5</v>
      </c>
      <c r="BK4" s="9" t="s">
        <v>173</v>
      </c>
      <c r="BL4" s="9" t="s">
        <v>180</v>
      </c>
      <c r="BM4" s="9" t="s">
        <v>181</v>
      </c>
      <c r="BN4" s="9" t="s">
        <v>182</v>
      </c>
      <c r="BO4" s="9" t="s">
        <v>183</v>
      </c>
      <c r="BP4" s="9" t="s">
        <v>5</v>
      </c>
      <c r="BQ4" s="9" t="s">
        <v>173</v>
      </c>
      <c r="BR4" s="9" t="s">
        <v>180</v>
      </c>
      <c r="BS4" s="9" t="s">
        <v>181</v>
      </c>
      <c r="BT4" s="9" t="s">
        <v>182</v>
      </c>
      <c r="BU4" s="9" t="s">
        <v>183</v>
      </c>
      <c r="BV4" s="9" t="s">
        <v>5</v>
      </c>
      <c r="BW4" s="9" t="s">
        <v>173</v>
      </c>
      <c r="BX4" s="58"/>
      <c r="BY4" s="589" t="s">
        <v>297</v>
      </c>
      <c r="BZ4" s="590"/>
      <c r="CA4" s="590"/>
      <c r="CB4" s="590"/>
      <c r="CC4" s="590"/>
      <c r="CD4" s="590"/>
      <c r="CE4" s="590"/>
      <c r="CF4" s="591"/>
      <c r="CG4" s="58"/>
      <c r="CH4" s="589" t="s">
        <v>175</v>
      </c>
      <c r="CI4" s="590"/>
      <c r="CJ4" s="590"/>
      <c r="CK4" s="590"/>
      <c r="CL4" s="590"/>
      <c r="CM4" s="590"/>
      <c r="CN4" s="590"/>
      <c r="CO4" s="591"/>
      <c r="CP4" s="58"/>
      <c r="CQ4" s="589" t="s">
        <v>530</v>
      </c>
      <c r="CR4" s="590"/>
      <c r="CS4" s="590"/>
      <c r="CT4" s="590"/>
      <c r="CU4" s="590"/>
      <c r="CV4" s="590"/>
      <c r="CW4" s="590"/>
      <c r="CX4" s="591"/>
    </row>
    <row r="5" spans="2:109" x14ac:dyDescent="0.3">
      <c r="B5" s="8" t="s">
        <v>23</v>
      </c>
      <c r="C5" s="8" t="s">
        <v>24</v>
      </c>
      <c r="D5" s="17" t="s">
        <v>98</v>
      </c>
      <c r="E5" s="17" t="s">
        <v>76</v>
      </c>
      <c r="F5" s="17" t="s">
        <v>77</v>
      </c>
      <c r="G5" s="17" t="s">
        <v>322</v>
      </c>
      <c r="H5" s="17" t="s">
        <v>212</v>
      </c>
      <c r="I5" s="17" t="s">
        <v>177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 t="shared" ref="AB5:AG5" si="0">CP_Yr_4</f>
        <v>43800</v>
      </c>
      <c r="AC5" s="335">
        <f t="shared" si="0"/>
        <v>43800</v>
      </c>
      <c r="AD5" s="335">
        <f t="shared" si="0"/>
        <v>43800</v>
      </c>
      <c r="AE5" s="335">
        <f t="shared" si="0"/>
        <v>43800</v>
      </c>
      <c r="AF5" s="335">
        <f t="shared" si="0"/>
        <v>43800</v>
      </c>
      <c r="AG5" s="335">
        <f t="shared" si="0"/>
        <v>43800</v>
      </c>
      <c r="AH5" s="335">
        <f t="shared" ref="AH5:AM5" si="1">CP_Yr_5</f>
        <v>44166</v>
      </c>
      <c r="AI5" s="335">
        <f t="shared" si="1"/>
        <v>44166</v>
      </c>
      <c r="AJ5" s="335">
        <f t="shared" si="1"/>
        <v>44166</v>
      </c>
      <c r="AK5" s="335">
        <f t="shared" si="1"/>
        <v>44166</v>
      </c>
      <c r="AL5" s="335">
        <f t="shared" si="1"/>
        <v>44166</v>
      </c>
      <c r="AM5" s="335">
        <f t="shared" si="1"/>
        <v>44166</v>
      </c>
      <c r="AN5" s="335">
        <f t="shared" ref="AN5:AS5" si="2">Stub</f>
        <v>44377</v>
      </c>
      <c r="AO5" s="335">
        <f t="shared" si="2"/>
        <v>44377</v>
      </c>
      <c r="AP5" s="335">
        <f t="shared" si="2"/>
        <v>44377</v>
      </c>
      <c r="AQ5" s="335">
        <f t="shared" si="2"/>
        <v>44377</v>
      </c>
      <c r="AR5" s="335">
        <f t="shared" si="2"/>
        <v>44377</v>
      </c>
      <c r="AS5" s="335">
        <f t="shared" si="2"/>
        <v>44377</v>
      </c>
      <c r="AT5" s="335">
        <f t="shared" ref="AT5:AY5" si="3">Yr_1</f>
        <v>44742</v>
      </c>
      <c r="AU5" s="335">
        <f t="shared" si="3"/>
        <v>44742</v>
      </c>
      <c r="AV5" s="335">
        <f t="shared" si="3"/>
        <v>44742</v>
      </c>
      <c r="AW5" s="335">
        <f t="shared" si="3"/>
        <v>44742</v>
      </c>
      <c r="AX5" s="335">
        <f t="shared" si="3"/>
        <v>44742</v>
      </c>
      <c r="AY5" s="335">
        <f t="shared" si="3"/>
        <v>44742</v>
      </c>
      <c r="AZ5" s="335">
        <f t="shared" ref="AZ5:BE5" si="4">Yr_2</f>
        <v>45107</v>
      </c>
      <c r="BA5" s="335">
        <f t="shared" si="4"/>
        <v>45107</v>
      </c>
      <c r="BB5" s="335">
        <f t="shared" si="4"/>
        <v>45107</v>
      </c>
      <c r="BC5" s="335">
        <f t="shared" si="4"/>
        <v>45107</v>
      </c>
      <c r="BD5" s="335">
        <f t="shared" si="4"/>
        <v>45107</v>
      </c>
      <c r="BE5" s="335">
        <f t="shared" si="4"/>
        <v>45107</v>
      </c>
      <c r="BF5" s="335">
        <f t="shared" ref="BF5:BK5" si="5">Yr_3</f>
        <v>45473</v>
      </c>
      <c r="BG5" s="335">
        <f t="shared" si="5"/>
        <v>45473</v>
      </c>
      <c r="BH5" s="335">
        <f t="shared" si="5"/>
        <v>45473</v>
      </c>
      <c r="BI5" s="335">
        <f t="shared" si="5"/>
        <v>45473</v>
      </c>
      <c r="BJ5" s="335">
        <f t="shared" si="5"/>
        <v>45473</v>
      </c>
      <c r="BK5" s="335">
        <f t="shared" si="5"/>
        <v>45473</v>
      </c>
      <c r="BL5" s="335">
        <f t="shared" ref="BL5:BQ5" si="6">Yr_4</f>
        <v>45838</v>
      </c>
      <c r="BM5" s="335">
        <f t="shared" si="6"/>
        <v>45838</v>
      </c>
      <c r="BN5" s="335">
        <f t="shared" si="6"/>
        <v>45838</v>
      </c>
      <c r="BO5" s="335">
        <f t="shared" si="6"/>
        <v>45838</v>
      </c>
      <c r="BP5" s="335">
        <f t="shared" si="6"/>
        <v>45838</v>
      </c>
      <c r="BQ5" s="335">
        <f t="shared" si="6"/>
        <v>45838</v>
      </c>
      <c r="BR5" s="335">
        <f t="shared" ref="BR5:BW5" si="7">Yr_5</f>
        <v>46203</v>
      </c>
      <c r="BS5" s="335">
        <f t="shared" si="7"/>
        <v>46203</v>
      </c>
      <c r="BT5" s="335">
        <f t="shared" si="7"/>
        <v>46203</v>
      </c>
      <c r="BU5" s="335">
        <f t="shared" si="7"/>
        <v>46203</v>
      </c>
      <c r="BV5" s="335">
        <f t="shared" si="7"/>
        <v>46203</v>
      </c>
      <c r="BW5" s="335">
        <f t="shared" si="7"/>
        <v>46203</v>
      </c>
      <c r="BX5" s="336"/>
      <c r="BY5" s="335">
        <f>CP_Yr_4</f>
        <v>43800</v>
      </c>
      <c r="BZ5" s="335">
        <f>CP_Yr_5</f>
        <v>44166</v>
      </c>
      <c r="CA5" s="335">
        <f>Stub</f>
        <v>44377</v>
      </c>
      <c r="CB5" s="335">
        <f>Yr_1</f>
        <v>44742</v>
      </c>
      <c r="CC5" s="335">
        <f>Yr_2</f>
        <v>45107</v>
      </c>
      <c r="CD5" s="335">
        <f>Yr_3</f>
        <v>45473</v>
      </c>
      <c r="CE5" s="335">
        <f>Yr_4</f>
        <v>45838</v>
      </c>
      <c r="CF5" s="335">
        <f>Yr_5</f>
        <v>46203</v>
      </c>
      <c r="CG5" s="336"/>
      <c r="CH5" s="335">
        <f>CP_Yr_4</f>
        <v>43800</v>
      </c>
      <c r="CI5" s="335">
        <f>CP_Yr_5</f>
        <v>44166</v>
      </c>
      <c r="CJ5" s="335">
        <f>Stub</f>
        <v>44377</v>
      </c>
      <c r="CK5" s="335">
        <f>Yr_1</f>
        <v>44742</v>
      </c>
      <c r="CL5" s="335">
        <f>Yr_2</f>
        <v>45107</v>
      </c>
      <c r="CM5" s="335">
        <f>Yr_3</f>
        <v>45473</v>
      </c>
      <c r="CN5" s="335">
        <f>Yr_4</f>
        <v>45838</v>
      </c>
      <c r="CO5" s="335">
        <f>Yr_5</f>
        <v>46203</v>
      </c>
      <c r="CP5" s="336"/>
      <c r="CQ5" s="335">
        <f>CP_Yr_4</f>
        <v>43800</v>
      </c>
      <c r="CR5" s="335">
        <f>CP_Yr_5</f>
        <v>44166</v>
      </c>
      <c r="CS5" s="335">
        <f>Stub</f>
        <v>44377</v>
      </c>
      <c r="CT5" s="335">
        <f>Yr_1</f>
        <v>44742</v>
      </c>
      <c r="CU5" s="335">
        <f>Yr_2</f>
        <v>45107</v>
      </c>
      <c r="CV5" s="335">
        <f>Yr_3</f>
        <v>45473</v>
      </c>
      <c r="CW5" s="335">
        <f>Yr_4</f>
        <v>45838</v>
      </c>
      <c r="CX5" s="335">
        <f>Yr_5</f>
        <v>46203</v>
      </c>
    </row>
    <row r="6" spans="2:109" x14ac:dyDescent="0.3">
      <c r="B6" s="7"/>
      <c r="C6" s="7"/>
      <c r="D6" s="7"/>
      <c r="E6" s="7"/>
      <c r="F6" s="7"/>
      <c r="G6" s="7"/>
      <c r="H6" s="7"/>
      <c r="I6" s="7"/>
      <c r="J6" s="45"/>
      <c r="K6" s="45"/>
      <c r="L6" s="45"/>
      <c r="M6" s="45"/>
      <c r="N6" s="45"/>
      <c r="O6" s="45"/>
      <c r="P6" s="45"/>
      <c r="Q6" s="45"/>
      <c r="S6" s="47"/>
      <c r="T6" s="47"/>
      <c r="U6" s="47"/>
      <c r="V6" s="47"/>
      <c r="W6" s="47"/>
      <c r="X6" s="47"/>
      <c r="Y6" s="47"/>
      <c r="Z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373"/>
      <c r="BC6" s="47"/>
      <c r="BD6" s="47"/>
      <c r="BE6" s="47"/>
      <c r="BF6" s="47"/>
      <c r="BG6" s="47"/>
      <c r="BH6" s="47"/>
      <c r="BI6" s="47"/>
      <c r="BJ6" s="47"/>
      <c r="BK6" s="47"/>
      <c r="BL6" s="47"/>
      <c r="BM6" s="47"/>
      <c r="BN6" s="47"/>
      <c r="BO6" s="47"/>
      <c r="BP6" s="47"/>
      <c r="BQ6" s="47"/>
      <c r="BR6" s="47"/>
      <c r="BS6" s="47"/>
      <c r="BT6" s="47"/>
      <c r="BU6" s="47"/>
      <c r="BV6" s="47"/>
      <c r="BW6" s="47"/>
      <c r="BY6" s="47"/>
      <c r="BZ6" s="47"/>
      <c r="CA6" s="47"/>
      <c r="CB6" s="47"/>
      <c r="CC6" s="47"/>
      <c r="CD6" s="47"/>
      <c r="CE6" s="47"/>
      <c r="CF6" s="47"/>
      <c r="CH6" s="83"/>
      <c r="CI6" s="83"/>
      <c r="CJ6" s="83"/>
      <c r="CK6" s="83"/>
      <c r="CL6" s="83"/>
      <c r="CM6" s="83"/>
      <c r="CN6" s="83"/>
      <c r="CO6" s="83"/>
      <c r="CQ6" s="373"/>
      <c r="CR6" s="373"/>
      <c r="CS6" s="47"/>
      <c r="CT6" s="373"/>
      <c r="CU6" s="47"/>
      <c r="CV6" s="47"/>
      <c r="CW6" s="47"/>
      <c r="CX6" s="47"/>
      <c r="DE6" s="1" t="str">
        <f>E6&amp;G6</f>
        <v/>
      </c>
    </row>
    <row r="7" spans="2:109" x14ac:dyDescent="0.3">
      <c r="B7" s="7"/>
      <c r="C7" s="256" t="s">
        <v>559</v>
      </c>
      <c r="D7" s="7"/>
      <c r="E7" s="7"/>
      <c r="F7" s="7"/>
      <c r="G7" s="7"/>
      <c r="H7" s="7"/>
      <c r="I7" s="7"/>
      <c r="J7" s="45"/>
      <c r="K7" s="45"/>
      <c r="L7" s="45"/>
      <c r="M7" s="45"/>
      <c r="N7" s="45"/>
      <c r="O7" s="45"/>
      <c r="P7" s="45"/>
      <c r="Q7" s="45"/>
      <c r="S7" s="47"/>
      <c r="T7" s="47"/>
      <c r="U7" s="47"/>
      <c r="V7" s="47"/>
      <c r="W7" s="47"/>
      <c r="X7" s="47"/>
      <c r="Y7" s="47"/>
      <c r="Z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373"/>
      <c r="BC7" s="47"/>
      <c r="BD7" s="47"/>
      <c r="BE7" s="47"/>
      <c r="BF7" s="47"/>
      <c r="BG7" s="47"/>
      <c r="BH7" s="47"/>
      <c r="BI7" s="47"/>
      <c r="BJ7" s="47"/>
      <c r="BK7" s="47"/>
      <c r="BL7" s="47"/>
      <c r="BM7" s="47"/>
      <c r="BN7" s="47"/>
      <c r="BO7" s="47"/>
      <c r="BP7" s="47"/>
      <c r="BQ7" s="47"/>
      <c r="BR7" s="47"/>
      <c r="BS7" s="47"/>
      <c r="BT7" s="47"/>
      <c r="BU7" s="47"/>
      <c r="BV7" s="47"/>
      <c r="BW7" s="47"/>
      <c r="BY7" s="47"/>
      <c r="BZ7" s="47"/>
      <c r="CA7" s="47"/>
      <c r="CB7" s="47"/>
      <c r="CC7" s="47"/>
      <c r="CD7" s="47"/>
      <c r="CE7" s="47"/>
      <c r="CF7" s="47"/>
      <c r="CH7" s="83"/>
      <c r="CI7" s="83"/>
      <c r="CJ7" s="83"/>
      <c r="CK7" s="83"/>
      <c r="CL7" s="83"/>
      <c r="CM7" s="83"/>
      <c r="CN7" s="83"/>
      <c r="CO7" s="83"/>
      <c r="CQ7" s="373"/>
      <c r="CR7" s="373"/>
      <c r="CS7" s="47"/>
      <c r="CT7" s="373"/>
      <c r="CU7" s="47"/>
      <c r="CV7" s="47"/>
      <c r="CW7" s="47"/>
      <c r="CX7" s="47"/>
      <c r="DE7" s="1" t="str">
        <f t="shared" ref="DE7:DE36" si="8">E7&amp;G7</f>
        <v/>
      </c>
    </row>
    <row r="8" spans="2:109" x14ac:dyDescent="0.3">
      <c r="B8" s="7"/>
      <c r="C8" s="7" t="s">
        <v>411</v>
      </c>
      <c r="D8" s="7" t="s">
        <v>692</v>
      </c>
      <c r="E8" s="7" t="s">
        <v>44</v>
      </c>
      <c r="F8" s="7" t="s">
        <v>55</v>
      </c>
      <c r="G8" s="7" t="s">
        <v>10</v>
      </c>
      <c r="H8" s="7" t="s">
        <v>750</v>
      </c>
      <c r="I8" s="7" t="s">
        <v>186</v>
      </c>
      <c r="J8" s="45"/>
      <c r="K8" s="45"/>
      <c r="L8" s="45"/>
      <c r="M8" s="45">
        <v>0</v>
      </c>
      <c r="N8" s="45">
        <v>0</v>
      </c>
      <c r="O8" s="45">
        <v>0</v>
      </c>
      <c r="P8" s="45"/>
      <c r="Q8" s="45"/>
      <c r="S8" s="47">
        <f>INDEX(Lab_Mat!$K$6:$N$9,MATCH($H8,Lab_Mat!$J$6:$J$9,0),MATCH($S$4,Lab_Mat!$K$5:$N$5,0))*J8*HLOOKUP(S$5,Escalators!$I$25:$U$30,3,FALSE)</f>
        <v>0</v>
      </c>
      <c r="T8" s="47">
        <f>INDEX(Lab_Mat!$K$6:$N$9,MATCH($H8,Lab_Mat!$J$6:$J$9,0),MATCH($S$4,Lab_Mat!$K$5:$N$5,0))*K8*HLOOKUP(T$5,Escalators!$I$25:$U$30,3,FALSE)</f>
        <v>0</v>
      </c>
      <c r="U8" s="47">
        <f>INDEX(Lab_Mat!$K$6:$N$9,MATCH($H8,Lab_Mat!$J$6:$J$9,0),MATCH($S$4,Lab_Mat!$K$5:$N$5,0))*L8*HLOOKUP(U$5,Escalators!$I$25:$U$30,3,FALSE)</f>
        <v>0</v>
      </c>
      <c r="V8" s="47">
        <f>INDEX(Lab_Mat!$K$6:$N$9,MATCH($H8,Lab_Mat!$J$6:$J$9,0),MATCH($S$4,Lab_Mat!$K$5:$N$5,0))*M8*HLOOKUP(V$5,Escalators!$I$25:$U$30,3,FALSE)</f>
        <v>0</v>
      </c>
      <c r="W8" s="47">
        <f>INDEX(Lab_Mat!$K$6:$N$9,MATCH($H8,Lab_Mat!$J$6:$J$9,0),MATCH($S$4,Lab_Mat!$K$5:$N$5,0))*N8*HLOOKUP(W$5,Escalators!$I$25:$U$30,3,FALSE)</f>
        <v>0</v>
      </c>
      <c r="X8" s="47">
        <f>INDEX(Lab_Mat!$K$6:$N$9,MATCH($H8,Lab_Mat!$J$6:$J$9,0),MATCH($S$4,Lab_Mat!$K$5:$N$5,0))*O8*HLOOKUP(X$5,Escalators!$I$25:$U$30,3,FALSE)</f>
        <v>0</v>
      </c>
      <c r="Y8" s="47">
        <f>INDEX(Lab_Mat!$K$6:$N$9,MATCH($H8,Lab_Mat!$J$6:$J$9,0),MATCH($S$4,Lab_Mat!$K$5:$N$5,0))*P8*HLOOKUP(Y$5,Escalators!$I$25:$U$30,3,FALSE)</f>
        <v>0</v>
      </c>
      <c r="Z8" s="47">
        <f>INDEX(Lab_Mat!$K$6:$N$9,MATCH($H8,Lab_Mat!$J$6:$J$9,0),MATCH($S$4,Lab_Mat!$K$5:$N$5,0))*Q8*HLOOKUP(Z$5,Escalators!$I$25:$U$30,3,FALSE)</f>
        <v>0</v>
      </c>
      <c r="AB8" s="47">
        <f>INDEX(Lab_Mat!$K$6:$N$9,MATCH($H8,Lab_Mat!$J$6:$J$9,0),MATCH($AG$4,Lab_Mat!$K$5:$N$5,0))*$J8*INDEX(Act_Type_Repex_Splits,MATCH($I8,Act_Type_Repex,0),MATCH(AB$4,Mat_Type,0))*INDEX(Escalators!$I$44:$Q$49,MATCH(AB$4,Escalators!$C$44:$C$49,0),MATCH(AB$5,Escalators!$I$43:$Q$43,0))</f>
        <v>0</v>
      </c>
      <c r="AC8" s="47">
        <f>INDEX(Lab_Mat!$K$6:$N$9,MATCH($H8,Lab_Mat!$J$6:$J$9,0),MATCH($AG$4,Lab_Mat!$K$5:$N$5,0))*$J8*INDEX(Act_Type_Repex_Splits,MATCH($I8,Act_Type_Repex,0),MATCH(AC$4,Mat_Type,0))*INDEX(Escalators!$I$44:$Q$49,MATCH(AC$4,Escalators!$C$44:$C$49,0),MATCH(AC$5,Escalators!$I$43:$Q$43,0))</f>
        <v>0</v>
      </c>
      <c r="AD8" s="47">
        <f>INDEX(Lab_Mat!$K$6:$N$9,MATCH($H8,Lab_Mat!$J$6:$J$9,0),MATCH($AG$4,Lab_Mat!$K$5:$N$5,0))*$J8*INDEX(Act_Type_Repex_Splits,MATCH($I8,Act_Type_Repex,0),MATCH(AD$4,Mat_Type,0))*INDEX(Escalators!$I$44:$Q$49,MATCH(AD$4,Escalators!$C$44:$C$49,0),MATCH(AD$5,Escalators!$I$43:$Q$43,0))</f>
        <v>0</v>
      </c>
      <c r="AE8" s="47">
        <f>INDEX(Lab_Mat!$K$6:$N$9,MATCH($H8,Lab_Mat!$J$6:$J$9,0),MATCH($AG$4,Lab_Mat!$K$5:$N$5,0))*$J8*INDEX(Act_Type_Repex_Splits,MATCH($I8,Act_Type_Repex,0),MATCH(AE$4,Mat_Type,0))*INDEX(Escalators!$I$44:$Q$49,MATCH(AE$4,Escalators!$C$44:$C$49,0),MATCH(AE$5,Escalators!$I$43:$Q$43,0))</f>
        <v>0</v>
      </c>
      <c r="AF8" s="47">
        <f>INDEX(Lab_Mat!$K$6:$N$9,MATCH($H8,Lab_Mat!$J$6:$J$9,0),MATCH($AG$4,Lab_Mat!$K$5:$N$5,0))*$J8*INDEX(Act_Type_Repex_Splits,MATCH($I8,Act_Type_Repex,0),MATCH(AF$4,Mat_Type,0))*INDEX(Escalators!$I$44:$Q$49,MATCH(AF$4,Escalators!$C$44:$C$49,0),MATCH(AF$5,Escalators!$I$43:$Q$43,0))</f>
        <v>0</v>
      </c>
      <c r="AG8" s="47">
        <f>SUM(AB8:AF8)</f>
        <v>0</v>
      </c>
      <c r="AH8" s="47">
        <f>INDEX(Lab_Mat!$K$6:$N$9,MATCH($H8,Lab_Mat!$J$6:$J$9,0),MATCH($AY$4,Lab_Mat!$K$5:$N$5,0))*$K8*INDEX(Act_Type_Repex_Splits,MATCH($I8,Act_Type_Repex,0),MATCH(AH$4,Mat_Type,0))*INDEX(Escalators!$I$44:$U$49,MATCH(AH$4,Escalators!$C$44:$C$49,0),MATCH(AH$5,Escalators!$I$43:$U$43,0))</f>
        <v>0</v>
      </c>
      <c r="AI8" s="47">
        <f>INDEX(Lab_Mat!$K$6:$N$9,MATCH($H8,Lab_Mat!$J$6:$J$9,0),MATCH($AY$4,Lab_Mat!$K$5:$N$5,0))*$K8*INDEX(Act_Type_Repex_Splits,MATCH($I8,Act_Type_Repex,0),MATCH(AI$4,Mat_Type,0))*INDEX(Escalators!$I$44:$U$49,MATCH(AI$4,Escalators!$C$44:$C$49,0),MATCH(AI$5,Escalators!$I$43:$U$43,0))</f>
        <v>0</v>
      </c>
      <c r="AJ8" s="47">
        <f>INDEX(Lab_Mat!$K$6:$N$9,MATCH($H8,Lab_Mat!$J$6:$J$9,0),MATCH($AY$4,Lab_Mat!$K$5:$N$5,0))*$K8*INDEX(Act_Type_Repex_Splits,MATCH($I8,Act_Type_Repex,0),MATCH(AJ$4,Mat_Type,0))*INDEX(Escalators!$I$44:$U$49,MATCH(AJ$4,Escalators!$C$44:$C$49,0),MATCH(AJ$5,Escalators!$I$43:$U$43,0))</f>
        <v>0</v>
      </c>
      <c r="AK8" s="47">
        <f>INDEX(Lab_Mat!$K$6:$N$9,MATCH($H8,Lab_Mat!$J$6:$J$9,0),MATCH($AY$4,Lab_Mat!$K$5:$N$5,0))*$K8*INDEX(Act_Type_Repex_Splits,MATCH($I8,Act_Type_Repex,0),MATCH(AK$4,Mat_Type,0))*INDEX(Escalators!$I$44:$U$49,MATCH(AK$4,Escalators!$C$44:$C$49,0),MATCH(AK$5,Escalators!$I$43:$U$43,0))</f>
        <v>0</v>
      </c>
      <c r="AL8" s="47">
        <f>INDEX(Lab_Mat!$K$6:$N$9,MATCH($H8,Lab_Mat!$J$6:$J$9,0),MATCH($AY$4,Lab_Mat!$K$5:$N$5,0))*$K8*INDEX(Act_Type_Repex_Splits,MATCH($I8,Act_Type_Repex,0),MATCH(AL$4,Mat_Type,0))*INDEX(Escalators!$I$44:$U$49,MATCH(AL$4,Escalators!$C$44:$C$49,0),MATCH(AL$5,Escalators!$I$43:$U$43,0))</f>
        <v>0</v>
      </c>
      <c r="AM8" s="47">
        <f>SUM(AH8:AL8)</f>
        <v>0</v>
      </c>
      <c r="AN8" s="47">
        <f>INDEX(Lab_Mat!$K$6:$N$9,MATCH($H8,Lab_Mat!$J$6:$J$9,0),MATCH($AY$4,Lab_Mat!$K$5:$N$5,0))*$L8*INDEX(Act_Type_Repex_Splits,MATCH($I8,Act_Type_Repex,0),MATCH(AN$4,Mat_Type,0))*INDEX(Escalators!$I$44:$U$49,MATCH(AN$4,Escalators!$C$44:$C$49,0),MATCH(AN$5,Escalators!$I$43:$U$43,0))</f>
        <v>0</v>
      </c>
      <c r="AO8" s="47">
        <f>INDEX(Lab_Mat!$K$6:$N$9,MATCH($H8,Lab_Mat!$J$6:$J$9,0),MATCH($AY$4,Lab_Mat!$K$5:$N$5,0))*$L8*INDEX(Act_Type_Repex_Splits,MATCH($I8,Act_Type_Repex,0),MATCH(AO$4,Mat_Type,0))*INDEX(Escalators!$I$44:$U$49,MATCH(AO$4,Escalators!$C$44:$C$49,0),MATCH(AO$5,Escalators!$I$43:$U$43,0))</f>
        <v>0</v>
      </c>
      <c r="AP8" s="47">
        <f>INDEX(Lab_Mat!$K$6:$N$9,MATCH($H8,Lab_Mat!$J$6:$J$9,0),MATCH($AY$4,Lab_Mat!$K$5:$N$5,0))*$L8*INDEX(Act_Type_Repex_Splits,MATCH($I8,Act_Type_Repex,0),MATCH(AP$4,Mat_Type,0))*INDEX(Escalators!$I$44:$U$49,MATCH(AP$4,Escalators!$C$44:$C$49,0),MATCH(AP$5,Escalators!$I$43:$U$43,0))</f>
        <v>0</v>
      </c>
      <c r="AQ8" s="47">
        <f>INDEX(Lab_Mat!$K$6:$N$9,MATCH($H8,Lab_Mat!$J$6:$J$9,0),MATCH($AY$4,Lab_Mat!$K$5:$N$5,0))*$L8*INDEX(Act_Type_Repex_Splits,MATCH($I8,Act_Type_Repex,0),MATCH(AQ$4,Mat_Type,0))*INDEX(Escalators!$I$44:$U$49,MATCH(AQ$4,Escalators!$C$44:$C$49,0),MATCH(AQ$5,Escalators!$I$43:$U$43,0))</f>
        <v>0</v>
      </c>
      <c r="AR8" s="47">
        <f>INDEX(Lab_Mat!$K$6:$N$9,MATCH($H8,Lab_Mat!$J$6:$J$9,0),MATCH($AY$4,Lab_Mat!$K$5:$N$5,0))*$L8*INDEX(Act_Type_Repex_Splits,MATCH($I8,Act_Type_Repex,0),MATCH(AR$4,Mat_Type,0))*INDEX(Escalators!$I$44:$U$49,MATCH(AR$4,Escalators!$C$44:$C$49,0),MATCH(AR$5,Escalators!$I$43:$U$43,0))</f>
        <v>0</v>
      </c>
      <c r="AS8" s="47">
        <f>SUM(AN8:AR8)</f>
        <v>0</v>
      </c>
      <c r="AT8" s="47">
        <f>INDEX(Lab_Mat!$K$6:$N$9,MATCH($H8,Lab_Mat!$J$6:$J$9,0),MATCH($AY$4,Lab_Mat!$K$5:$N$5,0))*$M8*INDEX(Act_Type_Repex_Splits,MATCH($I8,Act_Type_Repex,0),MATCH(AT$4,Mat_Type,0))*INDEX(Escalators!$I$44:$U$49,MATCH(AT$4,Escalators!$C$44:$C$49,0),MATCH(AT$5,Escalators!$I$43:$U$43,0))</f>
        <v>0</v>
      </c>
      <c r="AU8" s="47">
        <f>INDEX(Lab_Mat!$K$6:$N$9,MATCH($H8,Lab_Mat!$J$6:$J$9,0),MATCH($AY$4,Lab_Mat!$K$5:$N$5,0))*$M8*INDEX(Act_Type_Repex_Splits,MATCH($I8,Act_Type_Repex,0),MATCH(AU$4,Mat_Type,0))*INDEX(Escalators!$I$44:$U$49,MATCH(AU$4,Escalators!$C$44:$C$49,0),MATCH(AU$5,Escalators!$I$43:$U$43,0))</f>
        <v>0</v>
      </c>
      <c r="AV8" s="47">
        <f>INDEX(Lab_Mat!$K$6:$N$9,MATCH($H8,Lab_Mat!$J$6:$J$9,0),MATCH($AY$4,Lab_Mat!$K$5:$N$5,0))*$M8*INDEX(Act_Type_Repex_Splits,MATCH($I8,Act_Type_Repex,0),MATCH(AV$4,Mat_Type,0))*INDEX(Escalators!$I$44:$U$49,MATCH(AV$4,Escalators!$C$44:$C$49,0),MATCH(AV$5,Escalators!$I$43:$U$43,0))</f>
        <v>0</v>
      </c>
      <c r="AW8" s="47">
        <f>INDEX(Lab_Mat!$K$6:$N$9,MATCH($H8,Lab_Mat!$J$6:$J$9,0),MATCH($AY$4,Lab_Mat!$K$5:$N$5,0))*$M8*INDEX(Act_Type_Repex_Splits,MATCH($I8,Act_Type_Repex,0),MATCH(AW$4,Mat_Type,0))*INDEX(Escalators!$I$44:$U$49,MATCH(AW$4,Escalators!$C$44:$C$49,0),MATCH(AW$5,Escalators!$I$43:$U$43,0))</f>
        <v>0</v>
      </c>
      <c r="AX8" s="47">
        <f>INDEX(Lab_Mat!$K$6:$N$9,MATCH($H8,Lab_Mat!$J$6:$J$9,0),MATCH($AY$4,Lab_Mat!$K$5:$N$5,0))*$M8*INDEX(Act_Type_Repex_Splits,MATCH($I8,Act_Type_Repex,0),MATCH(AX$4,Mat_Type,0))*INDEX(Escalators!$I$44:$U$49,MATCH(AX$4,Escalators!$C$44:$C$49,0),MATCH(AX$5,Escalators!$I$43:$U$43,0))</f>
        <v>0</v>
      </c>
      <c r="AY8" s="47">
        <f>SUM(AT8:AX8)</f>
        <v>0</v>
      </c>
      <c r="AZ8" s="47">
        <f>INDEX(Lab_Mat!$K$6:$N$9,MATCH($H8,Lab_Mat!$J$6:$J$9,0),MATCH($BE$4,Lab_Mat!$K$5:$N$5,0))*$N8*INDEX(Act_Type_Repex_Splits,MATCH($I8,Act_Type_Repex,0),MATCH(AZ$4,Mat_Type,0))*INDEX(Escalators!$I$44:$U$49,MATCH(AZ$4,Escalators!$C$44:$C$49,0),MATCH(AZ$5,Escalators!$I$43:$U$43,0))</f>
        <v>0</v>
      </c>
      <c r="BA8" s="47">
        <f>INDEX(Lab_Mat!$K$6:$N$9,MATCH($H8,Lab_Mat!$J$6:$J$9,0),MATCH($BE$4,Lab_Mat!$K$5:$N$5,0))*$N8*INDEX(Act_Type_Repex_Splits,MATCH($I8,Act_Type_Repex,0),MATCH(BA$4,Mat_Type,0))*INDEX(Escalators!$I$44:$U$49,MATCH(BA$4,Escalators!$C$44:$C$49,0),MATCH(BA$5,Escalators!$I$43:$U$43,0))</f>
        <v>0</v>
      </c>
      <c r="BB8" s="47">
        <f>INDEX(Lab_Mat!$K$6:$N$9,MATCH($H8,Lab_Mat!$J$6:$J$9,0),MATCH($BE$4,Lab_Mat!$K$5:$N$5,0))*$N8*INDEX(Act_Type_Repex_Splits,MATCH($I8,Act_Type_Repex,0),MATCH(BB$4,Mat_Type,0))*INDEX(Escalators!$I$44:$U$49,MATCH(BB$4,Escalators!$C$44:$C$49,0),MATCH(BB$5,Escalators!$I$43:$U$43,0))</f>
        <v>0</v>
      </c>
      <c r="BC8" s="47">
        <f>INDEX(Lab_Mat!$K$6:$N$9,MATCH($H8,Lab_Mat!$J$6:$J$9,0),MATCH($BE$4,Lab_Mat!$K$5:$N$5,0))*$N8*INDEX(Act_Type_Repex_Splits,MATCH($I8,Act_Type_Repex,0),MATCH(BC$4,Mat_Type,0))*INDEX(Escalators!$I$44:$U$49,MATCH(BC$4,Escalators!$C$44:$C$49,0),MATCH(BC$5,Escalators!$I$43:$U$43,0))</f>
        <v>0</v>
      </c>
      <c r="BD8" s="47">
        <f>INDEX(Lab_Mat!$K$6:$N$9,MATCH($H8,Lab_Mat!$J$6:$J$9,0),MATCH($BE$4,Lab_Mat!$K$5:$N$5,0))*$N8*INDEX(Act_Type_Repex_Splits,MATCH($I8,Act_Type_Repex,0),MATCH(BD$4,Mat_Type,0))*INDEX(Escalators!$I$44:$U$49,MATCH(BD$4,Escalators!$C$44:$C$49,0),MATCH(BD$5,Escalators!$I$43:$U$43,0))</f>
        <v>0</v>
      </c>
      <c r="BE8" s="47">
        <f>SUM(AZ8:BD8)</f>
        <v>0</v>
      </c>
      <c r="BF8" s="47">
        <f>INDEX(Lab_Mat!$K$6:$N$9,MATCH($H8,Lab_Mat!$J$6:$J$9,0),MATCH($BK$4,Lab_Mat!$K$5:$N$5,0))*$O8*INDEX(Act_Type_Repex_Splits,MATCH($I8,Act_Type_Repex,0),MATCH(BF$4,Mat_Type,0))*INDEX(Escalators!$I$44:$U$49,MATCH(BF$4,Escalators!$C$44:$C$49,0),MATCH(BF$5,Escalators!$I$43:$U$43,0))</f>
        <v>0</v>
      </c>
      <c r="BG8" s="47">
        <f>INDEX(Lab_Mat!$K$6:$N$9,MATCH($H8,Lab_Mat!$J$6:$J$9,0),MATCH($BK$4,Lab_Mat!$K$5:$N$5,0))*$O8*INDEX(Act_Type_Repex_Splits,MATCH($I8,Act_Type_Repex,0),MATCH(BG$4,Mat_Type,0))*INDEX(Escalators!$I$44:$U$49,MATCH(BG$4,Escalators!$C$44:$C$49,0),MATCH(BG$5,Escalators!$I$43:$U$43,0))</f>
        <v>0</v>
      </c>
      <c r="BH8" s="47">
        <f>INDEX(Lab_Mat!$K$6:$N$9,MATCH($H8,Lab_Mat!$J$6:$J$9,0),MATCH($BK$4,Lab_Mat!$K$5:$N$5,0))*$O8*INDEX(Act_Type_Repex_Splits,MATCH($I8,Act_Type_Repex,0),MATCH(BH$4,Mat_Type,0))*INDEX(Escalators!$I$44:$U$49,MATCH(BH$4,Escalators!$C$44:$C$49,0),MATCH(BH$5,Escalators!$I$43:$U$43,0))</f>
        <v>0</v>
      </c>
      <c r="BI8" s="47">
        <f>INDEX(Lab_Mat!$K$6:$N$9,MATCH($H8,Lab_Mat!$J$6:$J$9,0),MATCH($BK$4,Lab_Mat!$K$5:$N$5,0))*$O8*INDEX(Act_Type_Repex_Splits,MATCH($I8,Act_Type_Repex,0),MATCH(BI$4,Mat_Type,0))*INDEX(Escalators!$I$44:$U$49,MATCH(BI$4,Escalators!$C$44:$C$49,0),MATCH(BI$5,Escalators!$I$43:$U$43,0))</f>
        <v>0</v>
      </c>
      <c r="BJ8" s="47">
        <f>INDEX(Lab_Mat!$K$6:$N$9,MATCH($H8,Lab_Mat!$J$6:$J$9,0),MATCH($BK$4,Lab_Mat!$K$5:$N$5,0))*$O8*INDEX(Act_Type_Repex_Splits,MATCH($I8,Act_Type_Repex,0),MATCH(BJ$4,Mat_Type,0))*INDEX(Escalators!$I$44:$U$49,MATCH(BJ$4,Escalators!$C$44:$C$49,0),MATCH(BJ$5,Escalators!$I$43:$U$43,0))</f>
        <v>0</v>
      </c>
      <c r="BK8" s="47">
        <f>SUM(BF8:BJ8)</f>
        <v>0</v>
      </c>
      <c r="BL8" s="47">
        <f>INDEX(Lab_Mat!$K$6:$N$9,MATCH($H8,Lab_Mat!$J$6:$J$9,0),MATCH($BQ$4,Lab_Mat!$K$5:$N$5,0))*$P8*INDEX(Act_Type_Repex_Splits,MATCH($I8,Act_Type_Repex,0),MATCH(BL$4,Mat_Type,0))*INDEX(Escalators!$I$44:$U$49,MATCH(BL$4,Escalators!$C$44:$C$49,0),MATCH(BL$5,Escalators!$I$43:$U$43,0))</f>
        <v>0</v>
      </c>
      <c r="BM8" s="47">
        <f>INDEX(Lab_Mat!$K$6:$N$9,MATCH($H8,Lab_Mat!$J$6:$J$9,0),MATCH($BQ$4,Lab_Mat!$K$5:$N$5,0))*$P8*INDEX(Act_Type_Repex_Splits,MATCH($I8,Act_Type_Repex,0),MATCH(BM$4,Mat_Type,0))*INDEX(Escalators!$I$44:$U$49,MATCH(BM$4,Escalators!$C$44:$C$49,0),MATCH(BM$5,Escalators!$I$43:$U$43,0))</f>
        <v>0</v>
      </c>
      <c r="BN8" s="47">
        <f>INDEX(Lab_Mat!$K$6:$N$9,MATCH($H8,Lab_Mat!$J$6:$J$9,0),MATCH($BQ$4,Lab_Mat!$K$5:$N$5,0))*$P8*INDEX(Act_Type_Repex_Splits,MATCH($I8,Act_Type_Repex,0),MATCH(BN$4,Mat_Type,0))*INDEX(Escalators!$I$44:$U$49,MATCH(BN$4,Escalators!$C$44:$C$49,0),MATCH(BN$5,Escalators!$I$43:$U$43,0))</f>
        <v>0</v>
      </c>
      <c r="BO8" s="47">
        <f>INDEX(Lab_Mat!$K$6:$N$9,MATCH($H8,Lab_Mat!$J$6:$J$9,0),MATCH($BQ$4,Lab_Mat!$K$5:$N$5,0))*$P8*INDEX(Act_Type_Repex_Splits,MATCH($I8,Act_Type_Repex,0),MATCH(BO$4,Mat_Type,0))*INDEX(Escalators!$I$44:$U$49,MATCH(BO$4,Escalators!$C$44:$C$49,0),MATCH(BO$5,Escalators!$I$43:$U$43,0))</f>
        <v>0</v>
      </c>
      <c r="BP8" s="47">
        <f>INDEX(Lab_Mat!$K$6:$N$9,MATCH($H8,Lab_Mat!$J$6:$J$9,0),MATCH($BQ$4,Lab_Mat!$K$5:$N$5,0))*$P8*INDEX(Act_Type_Repex_Splits,MATCH($I8,Act_Type_Repex,0),MATCH(BP$4,Mat_Type,0))*INDEX(Escalators!$I$44:$U$49,MATCH(BP$4,Escalators!$C$44:$C$49,0),MATCH(BP$5,Escalators!$I$43:$U$43,0))</f>
        <v>0</v>
      </c>
      <c r="BQ8" s="47">
        <f>SUM(BL8:BP8)</f>
        <v>0</v>
      </c>
      <c r="BR8" s="47">
        <f>INDEX(Lab_Mat!$K$6:$N$9,MATCH($H8,Lab_Mat!$J$6:$J$9,0),MATCH($BW$4,Lab_Mat!$K$5:$N$5,0))*$Q8*INDEX(Act_Type_Repex_Splits,MATCH($I8,Act_Type_Repex,0),MATCH(BR$4,Mat_Type,0))*INDEX(Escalators!$I$44:$U$49,MATCH(BR$4,Escalators!$C$44:$C$49,0),MATCH(BR$5,Escalators!$I$43:$U$43,0))</f>
        <v>0</v>
      </c>
      <c r="BS8" s="47">
        <f>INDEX(Lab_Mat!$K$6:$N$9,MATCH($H8,Lab_Mat!$J$6:$J$9,0),MATCH($BW$4,Lab_Mat!$K$5:$N$5,0))*$Q8*INDEX(Act_Type_Repex_Splits,MATCH($I8,Act_Type_Repex,0),MATCH(BS$4,Mat_Type,0))*INDEX(Escalators!$I$44:$U$49,MATCH(BS$4,Escalators!$C$44:$C$49,0),MATCH(BS$5,Escalators!$I$43:$U$43,0))</f>
        <v>0</v>
      </c>
      <c r="BT8" s="47">
        <f>INDEX(Lab_Mat!$K$6:$N$9,MATCH($H8,Lab_Mat!$J$6:$J$9,0),MATCH($BW$4,Lab_Mat!$K$5:$N$5,0))*$Q8*INDEX(Act_Type_Repex_Splits,MATCH($I8,Act_Type_Repex,0),MATCH(BT$4,Mat_Type,0))*INDEX(Escalators!$I$44:$U$49,MATCH(BT$4,Escalators!$C$44:$C$49,0),MATCH(BT$5,Escalators!$I$43:$U$43,0))</f>
        <v>0</v>
      </c>
      <c r="BU8" s="47">
        <f>INDEX(Lab_Mat!$K$6:$N$9,MATCH($H8,Lab_Mat!$J$6:$J$9,0),MATCH($BW$4,Lab_Mat!$K$5:$N$5,0))*$Q8*INDEX(Act_Type_Repex_Splits,MATCH($I8,Act_Type_Repex,0),MATCH(BU$4,Mat_Type,0))*INDEX(Escalators!$I$44:$U$49,MATCH(BU$4,Escalators!$C$44:$C$49,0),MATCH(BU$5,Escalators!$I$43:$U$43,0))</f>
        <v>0</v>
      </c>
      <c r="BV8" s="47">
        <f>INDEX(Lab_Mat!$K$6:$N$9,MATCH($H8,Lab_Mat!$J$6:$J$9,0),MATCH($BW$4,Lab_Mat!$K$5:$N$5,0))*$Q8*INDEX(Act_Type_Repex_Splits,MATCH($I8,Act_Type_Repex,0),MATCH(BV$4,Mat_Type,0))*INDEX(Escalators!$I$44:$U$49,MATCH(BV$4,Escalators!$C$44:$C$49,0),MATCH(BV$5,Escalators!$I$43:$U$43,0))</f>
        <v>0</v>
      </c>
      <c r="BW8" s="47">
        <f>SUM(BR8:BV8)</f>
        <v>0</v>
      </c>
      <c r="BY8" s="47">
        <f>INDEX(Lab_Mat!$K$6:$N$9,MATCH($H8,Lab_Mat!$J$6:$J$9,0),MATCH($BY$4,Lab_Mat!$K$5:$N$5,0))*J8*HLOOKUP(BY$5,Escalators!$I$25:$U$30,6,FALSE)</f>
        <v>0</v>
      </c>
      <c r="BZ8" s="47">
        <f>INDEX(Lab_Mat!$K$6:$N$9,MATCH($H8,Lab_Mat!$J$6:$J$9,0),MATCH($BY$4,Lab_Mat!$K$5:$N$5,0))*K8*HLOOKUP(BZ$5,Escalators!$I$25:$U$30,6,FALSE)</f>
        <v>0</v>
      </c>
      <c r="CA8" s="47">
        <f>INDEX(Lab_Mat!$K$6:$N$9,MATCH($H8,Lab_Mat!$J$6:$J$9,0),MATCH($BY$4,Lab_Mat!$K$5:$N$5,0))*L8*HLOOKUP(CA$5,Escalators!$I$25:$U$30,6,FALSE)</f>
        <v>0</v>
      </c>
      <c r="CB8" s="47">
        <f>INDEX(Lab_Mat!$K$6:$N$9,MATCH($H8,Lab_Mat!$J$6:$J$9,0),MATCH($BY$4,Lab_Mat!$K$5:$N$5,0))*M8*HLOOKUP(CB$5,Escalators!$I$25:$U$30,6,FALSE)</f>
        <v>0</v>
      </c>
      <c r="CC8" s="47">
        <f>INDEX(Lab_Mat!$K$6:$N$9,MATCH($H8,Lab_Mat!$J$6:$J$9,0),MATCH($BY$4,Lab_Mat!$K$5:$N$5,0))*N8*HLOOKUP(CC$5,Escalators!$I$25:$U$30,6,FALSE)</f>
        <v>0</v>
      </c>
      <c r="CD8" s="47">
        <f>INDEX(Lab_Mat!$K$6:$N$9,MATCH($H8,Lab_Mat!$J$6:$J$9,0),MATCH($BY$4,Lab_Mat!$K$5:$N$5,0))*O8*HLOOKUP(CD$5,Escalators!$I$25:$U$30,6,FALSE)</f>
        <v>0</v>
      </c>
      <c r="CE8" s="47">
        <f>INDEX(Lab_Mat!$K$6:$N$9,MATCH($H8,Lab_Mat!$J$6:$J$9,0),MATCH($BY$4,Lab_Mat!$K$5:$N$5,0))*P8*HLOOKUP(CE$5,Escalators!$I$25:$U$30,6,FALSE)</f>
        <v>0</v>
      </c>
      <c r="CF8" s="47">
        <f>INDEX(Lab_Mat!$K$6:$N$9,MATCH($H8,Lab_Mat!$J$6:$J$9,0),MATCH($BY$4,Lab_Mat!$K$5:$N$5,0))*Q8*HLOOKUP(CF$5,Escalators!$I$25:$U$30,6,FALSE)</f>
        <v>0</v>
      </c>
      <c r="CH8" s="47">
        <f>INDEX(Lab_Mat!$K$6:$N$9,MATCH($H8,Lab_Mat!$J$6:$J$9,0),MATCH($CH$4,Lab_Mat!$K$5:$N$5,0))*J8</f>
        <v>0</v>
      </c>
      <c r="CI8" s="47">
        <f>INDEX(Lab_Mat!$K$6:$N$9,MATCH($H8,Lab_Mat!$J$6:$J$9,0),MATCH($CH$4,Lab_Mat!$K$5:$N$5,0))*K8</f>
        <v>0</v>
      </c>
      <c r="CJ8" s="47">
        <f>INDEX(Lab_Mat!$K$6:$N$9,MATCH($H8,Lab_Mat!$J$6:$J$9,0),MATCH($CH$4,Lab_Mat!$K$5:$N$5,0))*L8</f>
        <v>0</v>
      </c>
      <c r="CK8" s="47">
        <f>INDEX(Lab_Mat!$K$6:$N$9,MATCH($H8,Lab_Mat!$J$6:$J$9,0),MATCH($CH$4,Lab_Mat!$K$5:$N$5,0))*M8</f>
        <v>0</v>
      </c>
      <c r="CL8" s="47">
        <f>INDEX(Lab_Mat!$K$6:$N$9,MATCH($H8,Lab_Mat!$J$6:$J$9,0),MATCH($CH$4,Lab_Mat!$K$5:$N$5,0))*N8</f>
        <v>0</v>
      </c>
      <c r="CM8" s="47">
        <f>INDEX(Lab_Mat!$K$6:$N$9,MATCH($H8,Lab_Mat!$J$6:$J$9,0),MATCH($CH$4,Lab_Mat!$K$5:$N$5,0))*O8</f>
        <v>0</v>
      </c>
      <c r="CN8" s="47">
        <f>INDEX(Lab_Mat!$K$6:$N$9,MATCH($H8,Lab_Mat!$J$6:$J$9,0),MATCH($CH$4,Lab_Mat!$K$5:$N$5,0))*P8</f>
        <v>0</v>
      </c>
      <c r="CO8" s="47">
        <f>INDEX(Lab_Mat!$K$6:$N$9,MATCH($H8,Lab_Mat!$J$6:$J$9,0),MATCH($CH$4,Lab_Mat!$K$5:$N$5,0))*Q8</f>
        <v>0</v>
      </c>
      <c r="CQ8" s="47">
        <f t="shared" ref="CQ8" si="9">S8+AG8+BY8+CH8</f>
        <v>0</v>
      </c>
      <c r="CR8" s="47">
        <f t="shared" ref="CR8" si="10">T8+AM8+BZ8+CI8</f>
        <v>0</v>
      </c>
      <c r="CS8" s="47">
        <f>U8+AS8+CA8+CJ8</f>
        <v>0</v>
      </c>
      <c r="CT8" s="47">
        <f t="shared" ref="CT8" si="11">V8+AY8+CB8+CK8</f>
        <v>0</v>
      </c>
      <c r="CU8" s="47">
        <f t="shared" ref="CU8" si="12">W8+BE8+CC8+CL8</f>
        <v>0</v>
      </c>
      <c r="CV8" s="47">
        <f t="shared" ref="CV8" si="13">X8+BK8+CD8+CM8</f>
        <v>0</v>
      </c>
      <c r="CW8" s="47">
        <f t="shared" ref="CW8" si="14">Y8+BQ8+CE8+CN8</f>
        <v>0</v>
      </c>
      <c r="CX8" s="47">
        <f t="shared" ref="CX8" si="15">Z8+BW8+CF8+CO8</f>
        <v>0</v>
      </c>
      <c r="CY8" s="39"/>
      <c r="CZ8" s="39"/>
      <c r="DA8" s="39"/>
      <c r="DB8" s="39"/>
      <c r="DC8" s="39"/>
    </row>
    <row r="9" spans="2:109" x14ac:dyDescent="0.3">
      <c r="B9" s="7"/>
      <c r="C9" s="7" t="s">
        <v>412</v>
      </c>
      <c r="D9" s="7" t="s">
        <v>692</v>
      </c>
      <c r="E9" s="7" t="s">
        <v>45</v>
      </c>
      <c r="F9" s="7" t="s">
        <v>55</v>
      </c>
      <c r="G9" s="7" t="s">
        <v>10</v>
      </c>
      <c r="H9" s="7" t="s">
        <v>560</v>
      </c>
      <c r="I9" s="7" t="s">
        <v>186</v>
      </c>
      <c r="J9" s="45"/>
      <c r="K9" s="45"/>
      <c r="L9" s="45"/>
      <c r="M9" s="45">
        <v>0</v>
      </c>
      <c r="N9" s="45">
        <v>0</v>
      </c>
      <c r="O9" s="45">
        <v>0</v>
      </c>
      <c r="P9" s="45"/>
      <c r="Q9" s="45"/>
      <c r="S9" s="47">
        <f>INDEX(Lab_Mat!$K$6:$N$9,MATCH($H9,Lab_Mat!$J$6:$J$9,0),MATCH($S$4,Lab_Mat!$K$5:$N$5,0))*J9*HLOOKUP(S$5,Escalators!$I$25:$U$30,3,FALSE)</f>
        <v>0</v>
      </c>
      <c r="T9" s="47">
        <f>INDEX(Lab_Mat!$K$6:$N$9,MATCH($H9,Lab_Mat!$J$6:$J$9,0),MATCH($S$4,Lab_Mat!$K$5:$N$5,0))*K9*HLOOKUP(T$5,Escalators!$I$25:$U$30,3,FALSE)</f>
        <v>0</v>
      </c>
      <c r="U9" s="47">
        <f>INDEX(Lab_Mat!$K$6:$N$9,MATCH($H9,Lab_Mat!$J$6:$J$9,0),MATCH($S$4,Lab_Mat!$K$5:$N$5,0))*L9*HLOOKUP(U$5,Escalators!$I$25:$U$30,3,FALSE)</f>
        <v>0</v>
      </c>
      <c r="V9" s="47">
        <f>INDEX(Lab_Mat!$K$6:$N$9,MATCH($H9,Lab_Mat!$J$6:$J$9,0),MATCH($S$4,Lab_Mat!$K$5:$N$5,0))*M9*HLOOKUP(V$5,Escalators!$I$25:$U$30,3,FALSE)</f>
        <v>0</v>
      </c>
      <c r="W9" s="47">
        <f>INDEX(Lab_Mat!$K$6:$N$9,MATCH($H9,Lab_Mat!$J$6:$J$9,0),MATCH($S$4,Lab_Mat!$K$5:$N$5,0))*N9*HLOOKUP(W$5,Escalators!$I$25:$U$30,3,FALSE)</f>
        <v>0</v>
      </c>
      <c r="X9" s="47">
        <f>INDEX(Lab_Mat!$K$6:$N$9,MATCH($H9,Lab_Mat!$J$6:$J$9,0),MATCH($S$4,Lab_Mat!$K$5:$N$5,0))*O9*HLOOKUP(X$5,Escalators!$I$25:$U$30,3,FALSE)</f>
        <v>0</v>
      </c>
      <c r="Y9" s="47">
        <f>INDEX(Lab_Mat!$K$6:$N$9,MATCH($H9,Lab_Mat!$J$6:$J$9,0),MATCH($S$4,Lab_Mat!$K$5:$N$5,0))*P9*HLOOKUP(Y$5,Escalators!$I$25:$U$30,3,FALSE)</f>
        <v>0</v>
      </c>
      <c r="Z9" s="47">
        <f>INDEX(Lab_Mat!$K$6:$N$9,MATCH($H9,Lab_Mat!$J$6:$J$9,0),MATCH($S$4,Lab_Mat!$K$5:$N$5,0))*Q9*HLOOKUP(Z$5,Escalators!$I$25:$U$30,3,FALSE)</f>
        <v>0</v>
      </c>
      <c r="AB9" s="47">
        <f>INDEX(Lab_Mat!$K$6:$N$9,MATCH($H9,Lab_Mat!$J$6:$J$9,0),MATCH($AG$4,Lab_Mat!$K$5:$N$5,0))*$J9*INDEX(Act_Type_Repex_Splits,MATCH($I9,Act_Type_Repex,0),MATCH(AB$4,Mat_Type,0))*INDEX(Escalators!$I$44:$Q$49,MATCH(AB$4,Escalators!$C$44:$C$49,0),MATCH(AB$5,Escalators!$I$43:$Q$43,0))</f>
        <v>0</v>
      </c>
      <c r="AC9" s="47">
        <f>INDEX(Lab_Mat!$K$6:$N$9,MATCH($H9,Lab_Mat!$J$6:$J$9,0),MATCH($AG$4,Lab_Mat!$K$5:$N$5,0))*$J9*INDEX(Act_Type_Repex_Splits,MATCH($I9,Act_Type_Repex,0),MATCH(AC$4,Mat_Type,0))*INDEX(Escalators!$I$44:$Q$49,MATCH(AC$4,Escalators!$C$44:$C$49,0),MATCH(AC$5,Escalators!$I$43:$Q$43,0))</f>
        <v>0</v>
      </c>
      <c r="AD9" s="47">
        <f>INDEX(Lab_Mat!$K$6:$N$9,MATCH($H9,Lab_Mat!$J$6:$J$9,0),MATCH($AG$4,Lab_Mat!$K$5:$N$5,0))*$J9*INDEX(Act_Type_Repex_Splits,MATCH($I9,Act_Type_Repex,0),MATCH(AD$4,Mat_Type,0))*INDEX(Escalators!$I$44:$Q$49,MATCH(AD$4,Escalators!$C$44:$C$49,0),MATCH(AD$5,Escalators!$I$43:$Q$43,0))</f>
        <v>0</v>
      </c>
      <c r="AE9" s="47">
        <f>INDEX(Lab_Mat!$K$6:$N$9,MATCH($H9,Lab_Mat!$J$6:$J$9,0),MATCH($AG$4,Lab_Mat!$K$5:$N$5,0))*$J9*INDEX(Act_Type_Repex_Splits,MATCH($I9,Act_Type_Repex,0),MATCH(AE$4,Mat_Type,0))*INDEX(Escalators!$I$44:$Q$49,MATCH(AE$4,Escalators!$C$44:$C$49,0),MATCH(AE$5,Escalators!$I$43:$Q$43,0))</f>
        <v>0</v>
      </c>
      <c r="AF9" s="47">
        <f>INDEX(Lab_Mat!$K$6:$N$9,MATCH($H9,Lab_Mat!$J$6:$J$9,0),MATCH($AG$4,Lab_Mat!$K$5:$N$5,0))*$J9*INDEX(Act_Type_Repex_Splits,MATCH($I9,Act_Type_Repex,0),MATCH(AF$4,Mat_Type,0))*INDEX(Escalators!$I$44:$Q$49,MATCH(AF$4,Escalators!$C$44:$C$49,0),MATCH(AF$5,Escalators!$I$43:$Q$43,0))</f>
        <v>0</v>
      </c>
      <c r="AG9" s="47">
        <f t="shared" ref="AG9:AG13" si="16">SUM(AB9:AF9)</f>
        <v>0</v>
      </c>
      <c r="AH9" s="47">
        <f>INDEX(Lab_Mat!$K$6:$N$9,MATCH($H9,Lab_Mat!$J$6:$J$9,0),MATCH($AY$4,Lab_Mat!$K$5:$N$5,0))*$K9*INDEX(Act_Type_Repex_Splits,MATCH($I9,Act_Type_Repex,0),MATCH(AH$4,Mat_Type,0))*INDEX(Escalators!$I$44:$U$49,MATCH(AH$4,Escalators!$C$44:$C$49,0),MATCH(AH$5,Escalators!$I$43:$U$43,0))</f>
        <v>0</v>
      </c>
      <c r="AI9" s="47">
        <f>INDEX(Lab_Mat!$K$6:$N$9,MATCH($H9,Lab_Mat!$J$6:$J$9,0),MATCH($AY$4,Lab_Mat!$K$5:$N$5,0))*$K9*INDEX(Act_Type_Repex_Splits,MATCH($I9,Act_Type_Repex,0),MATCH(AI$4,Mat_Type,0))*INDEX(Escalators!$I$44:$U$49,MATCH(AI$4,Escalators!$C$44:$C$49,0),MATCH(AI$5,Escalators!$I$43:$U$43,0))</f>
        <v>0</v>
      </c>
      <c r="AJ9" s="47">
        <f>INDEX(Lab_Mat!$K$6:$N$9,MATCH($H9,Lab_Mat!$J$6:$J$9,0),MATCH($AY$4,Lab_Mat!$K$5:$N$5,0))*$K9*INDEX(Act_Type_Repex_Splits,MATCH($I9,Act_Type_Repex,0),MATCH(AJ$4,Mat_Type,0))*INDEX(Escalators!$I$44:$U$49,MATCH(AJ$4,Escalators!$C$44:$C$49,0),MATCH(AJ$5,Escalators!$I$43:$U$43,0))</f>
        <v>0</v>
      </c>
      <c r="AK9" s="47">
        <f>INDEX(Lab_Mat!$K$6:$N$9,MATCH($H9,Lab_Mat!$J$6:$J$9,0),MATCH($AY$4,Lab_Mat!$K$5:$N$5,0))*$K9*INDEX(Act_Type_Repex_Splits,MATCH($I9,Act_Type_Repex,0),MATCH(AK$4,Mat_Type,0))*INDEX(Escalators!$I$44:$U$49,MATCH(AK$4,Escalators!$C$44:$C$49,0),MATCH(AK$5,Escalators!$I$43:$U$43,0))</f>
        <v>0</v>
      </c>
      <c r="AL9" s="47">
        <f>INDEX(Lab_Mat!$K$6:$N$9,MATCH($H9,Lab_Mat!$J$6:$J$9,0),MATCH($AY$4,Lab_Mat!$K$5:$N$5,0))*$K9*INDEX(Act_Type_Repex_Splits,MATCH($I9,Act_Type_Repex,0),MATCH(AL$4,Mat_Type,0))*INDEX(Escalators!$I$44:$U$49,MATCH(AL$4,Escalators!$C$44:$C$49,0),MATCH(AL$5,Escalators!$I$43:$U$43,0))</f>
        <v>0</v>
      </c>
      <c r="AM9" s="47">
        <f t="shared" ref="AM9:AM13" si="17">SUM(AH9:AL9)</f>
        <v>0</v>
      </c>
      <c r="AN9" s="47">
        <f>INDEX(Lab_Mat!$K$6:$N$9,MATCH($H9,Lab_Mat!$J$6:$J$9,0),MATCH($AY$4,Lab_Mat!$K$5:$N$5,0))*$L9*INDEX(Act_Type_Repex_Splits,MATCH($I9,Act_Type_Repex,0),MATCH(AN$4,Mat_Type,0))*INDEX(Escalators!$I$44:$U$49,MATCH(AN$4,Escalators!$C$44:$C$49,0),MATCH(AN$5,Escalators!$I$43:$U$43,0))</f>
        <v>0</v>
      </c>
      <c r="AO9" s="47">
        <f>INDEX(Lab_Mat!$K$6:$N$9,MATCH($H9,Lab_Mat!$J$6:$J$9,0),MATCH($AY$4,Lab_Mat!$K$5:$N$5,0))*$L9*INDEX(Act_Type_Repex_Splits,MATCH($I9,Act_Type_Repex,0),MATCH(AO$4,Mat_Type,0))*INDEX(Escalators!$I$44:$U$49,MATCH(AO$4,Escalators!$C$44:$C$49,0),MATCH(AO$5,Escalators!$I$43:$U$43,0))</f>
        <v>0</v>
      </c>
      <c r="AP9" s="47">
        <f>INDEX(Lab_Mat!$K$6:$N$9,MATCH($H9,Lab_Mat!$J$6:$J$9,0),MATCH($AY$4,Lab_Mat!$K$5:$N$5,0))*$L9*INDEX(Act_Type_Repex_Splits,MATCH($I9,Act_Type_Repex,0),MATCH(AP$4,Mat_Type,0))*INDEX(Escalators!$I$44:$U$49,MATCH(AP$4,Escalators!$C$44:$C$49,0),MATCH(AP$5,Escalators!$I$43:$U$43,0))</f>
        <v>0</v>
      </c>
      <c r="AQ9" s="47">
        <f>INDEX(Lab_Mat!$K$6:$N$9,MATCH($H9,Lab_Mat!$J$6:$J$9,0),MATCH($AY$4,Lab_Mat!$K$5:$N$5,0))*$L9*INDEX(Act_Type_Repex_Splits,MATCH($I9,Act_Type_Repex,0),MATCH(AQ$4,Mat_Type,0))*INDEX(Escalators!$I$44:$U$49,MATCH(AQ$4,Escalators!$C$44:$C$49,0),MATCH(AQ$5,Escalators!$I$43:$U$43,0))</f>
        <v>0</v>
      </c>
      <c r="AR9" s="47">
        <f>INDEX(Lab_Mat!$K$6:$N$9,MATCH($H9,Lab_Mat!$J$6:$J$9,0),MATCH($AY$4,Lab_Mat!$K$5:$N$5,0))*$L9*INDEX(Act_Type_Repex_Splits,MATCH($I9,Act_Type_Repex,0),MATCH(AR$4,Mat_Type,0))*INDEX(Escalators!$I$44:$U$49,MATCH(AR$4,Escalators!$C$44:$C$49,0),MATCH(AR$5,Escalators!$I$43:$U$43,0))</f>
        <v>0</v>
      </c>
      <c r="AS9" s="47">
        <f t="shared" ref="AS9:AS13" si="18">SUM(AN9:AR9)</f>
        <v>0</v>
      </c>
      <c r="AT9" s="47">
        <f>INDEX(Lab_Mat!$K$6:$N$9,MATCH($H9,Lab_Mat!$J$6:$J$9,0),MATCH($AY$4,Lab_Mat!$K$5:$N$5,0))*$M9*INDEX(Act_Type_Repex_Splits,MATCH($I9,Act_Type_Repex,0),MATCH(AT$4,Mat_Type,0))*INDEX(Escalators!$I$44:$U$49,MATCH(AT$4,Escalators!$C$44:$C$49,0),MATCH(AT$5,Escalators!$I$43:$U$43,0))</f>
        <v>0</v>
      </c>
      <c r="AU9" s="47">
        <f>INDEX(Lab_Mat!$K$6:$N$9,MATCH($H9,Lab_Mat!$J$6:$J$9,0),MATCH($AY$4,Lab_Mat!$K$5:$N$5,0))*$M9*INDEX(Act_Type_Repex_Splits,MATCH($I9,Act_Type_Repex,0),MATCH(AU$4,Mat_Type,0))*INDEX(Escalators!$I$44:$U$49,MATCH(AU$4,Escalators!$C$44:$C$49,0),MATCH(AU$5,Escalators!$I$43:$U$43,0))</f>
        <v>0</v>
      </c>
      <c r="AV9" s="47">
        <f>INDEX(Lab_Mat!$K$6:$N$9,MATCH($H9,Lab_Mat!$J$6:$J$9,0),MATCH($AY$4,Lab_Mat!$K$5:$N$5,0))*$M9*INDEX(Act_Type_Repex_Splits,MATCH($I9,Act_Type_Repex,0),MATCH(AV$4,Mat_Type,0))*INDEX(Escalators!$I$44:$U$49,MATCH(AV$4,Escalators!$C$44:$C$49,0),MATCH(AV$5,Escalators!$I$43:$U$43,0))</f>
        <v>0</v>
      </c>
      <c r="AW9" s="47">
        <f>INDEX(Lab_Mat!$K$6:$N$9,MATCH($H9,Lab_Mat!$J$6:$J$9,0),MATCH($AY$4,Lab_Mat!$K$5:$N$5,0))*$M9*INDEX(Act_Type_Repex_Splits,MATCH($I9,Act_Type_Repex,0),MATCH(AW$4,Mat_Type,0))*INDEX(Escalators!$I$44:$U$49,MATCH(AW$4,Escalators!$C$44:$C$49,0),MATCH(AW$5,Escalators!$I$43:$U$43,0))</f>
        <v>0</v>
      </c>
      <c r="AX9" s="47">
        <f>INDEX(Lab_Mat!$K$6:$N$9,MATCH($H9,Lab_Mat!$J$6:$J$9,0),MATCH($AY$4,Lab_Mat!$K$5:$N$5,0))*$M9*INDEX(Act_Type_Repex_Splits,MATCH($I9,Act_Type_Repex,0),MATCH(AX$4,Mat_Type,0))*INDEX(Escalators!$I$44:$U$49,MATCH(AX$4,Escalators!$C$44:$C$49,0),MATCH(AX$5,Escalators!$I$43:$U$43,0))</f>
        <v>0</v>
      </c>
      <c r="AY9" s="47">
        <f t="shared" ref="AY9:AY13" si="19">SUM(AT9:AX9)</f>
        <v>0</v>
      </c>
      <c r="AZ9" s="47">
        <f>INDEX(Lab_Mat!$K$6:$N$9,MATCH($H9,Lab_Mat!$J$6:$J$9,0),MATCH($BE$4,Lab_Mat!$K$5:$N$5,0))*$N9*INDEX(Act_Type_Repex_Splits,MATCH($I9,Act_Type_Repex,0),MATCH(AZ$4,Mat_Type,0))*INDEX(Escalators!$I$44:$U$49,MATCH(AZ$4,Escalators!$C$44:$C$49,0),MATCH(AZ$5,Escalators!$I$43:$U$43,0))</f>
        <v>0</v>
      </c>
      <c r="BA9" s="47">
        <f>INDEX(Lab_Mat!$K$6:$N$9,MATCH($H9,Lab_Mat!$J$6:$J$9,0),MATCH($BE$4,Lab_Mat!$K$5:$N$5,0))*$N9*INDEX(Act_Type_Repex_Splits,MATCH($I9,Act_Type_Repex,0),MATCH(BA$4,Mat_Type,0))*INDEX(Escalators!$I$44:$U$49,MATCH(BA$4,Escalators!$C$44:$C$49,0),MATCH(BA$5,Escalators!$I$43:$U$43,0))</f>
        <v>0</v>
      </c>
      <c r="BB9" s="47">
        <f>INDEX(Lab_Mat!$K$6:$N$9,MATCH($H9,Lab_Mat!$J$6:$J$9,0),MATCH($BE$4,Lab_Mat!$K$5:$N$5,0))*$N9*INDEX(Act_Type_Repex_Splits,MATCH($I9,Act_Type_Repex,0),MATCH(BB$4,Mat_Type,0))*INDEX(Escalators!$I$44:$U$49,MATCH(BB$4,Escalators!$C$44:$C$49,0),MATCH(BB$5,Escalators!$I$43:$U$43,0))</f>
        <v>0</v>
      </c>
      <c r="BC9" s="47">
        <f>INDEX(Lab_Mat!$K$6:$N$9,MATCH($H9,Lab_Mat!$J$6:$J$9,0),MATCH($BE$4,Lab_Mat!$K$5:$N$5,0))*$N9*INDEX(Act_Type_Repex_Splits,MATCH($I9,Act_Type_Repex,0),MATCH(BC$4,Mat_Type,0))*INDEX(Escalators!$I$44:$U$49,MATCH(BC$4,Escalators!$C$44:$C$49,0),MATCH(BC$5,Escalators!$I$43:$U$43,0))</f>
        <v>0</v>
      </c>
      <c r="BD9" s="47">
        <f>INDEX(Lab_Mat!$K$6:$N$9,MATCH($H9,Lab_Mat!$J$6:$J$9,0),MATCH($BE$4,Lab_Mat!$K$5:$N$5,0))*$N9*INDEX(Act_Type_Repex_Splits,MATCH($I9,Act_Type_Repex,0),MATCH(BD$4,Mat_Type,0))*INDEX(Escalators!$I$44:$U$49,MATCH(BD$4,Escalators!$C$44:$C$49,0),MATCH(BD$5,Escalators!$I$43:$U$43,0))</f>
        <v>0</v>
      </c>
      <c r="BE9" s="47">
        <f t="shared" ref="BE9:BE13" si="20">SUM(AZ9:BD9)</f>
        <v>0</v>
      </c>
      <c r="BF9" s="47">
        <f>INDEX(Lab_Mat!$K$6:$N$9,MATCH($H9,Lab_Mat!$J$6:$J$9,0),MATCH($BK$4,Lab_Mat!$K$5:$N$5,0))*$O9*INDEX(Act_Type_Repex_Splits,MATCH($I9,Act_Type_Repex,0),MATCH(BF$4,Mat_Type,0))*INDEX(Escalators!$I$44:$U$49,MATCH(BF$4,Escalators!$C$44:$C$49,0),MATCH(BF$5,Escalators!$I$43:$U$43,0))</f>
        <v>0</v>
      </c>
      <c r="BG9" s="47">
        <f>INDEX(Lab_Mat!$K$6:$N$9,MATCH($H9,Lab_Mat!$J$6:$J$9,0),MATCH($BK$4,Lab_Mat!$K$5:$N$5,0))*$O9*INDEX(Act_Type_Repex_Splits,MATCH($I9,Act_Type_Repex,0),MATCH(BG$4,Mat_Type,0))*INDEX(Escalators!$I$44:$U$49,MATCH(BG$4,Escalators!$C$44:$C$49,0),MATCH(BG$5,Escalators!$I$43:$U$43,0))</f>
        <v>0</v>
      </c>
      <c r="BH9" s="47">
        <f>INDEX(Lab_Mat!$K$6:$N$9,MATCH($H9,Lab_Mat!$J$6:$J$9,0),MATCH($BK$4,Lab_Mat!$K$5:$N$5,0))*$O9*INDEX(Act_Type_Repex_Splits,MATCH($I9,Act_Type_Repex,0),MATCH(BH$4,Mat_Type,0))*INDEX(Escalators!$I$44:$U$49,MATCH(BH$4,Escalators!$C$44:$C$49,0),MATCH(BH$5,Escalators!$I$43:$U$43,0))</f>
        <v>0</v>
      </c>
      <c r="BI9" s="47">
        <f>INDEX(Lab_Mat!$K$6:$N$9,MATCH($H9,Lab_Mat!$J$6:$J$9,0),MATCH($BK$4,Lab_Mat!$K$5:$N$5,0))*$O9*INDEX(Act_Type_Repex_Splits,MATCH($I9,Act_Type_Repex,0),MATCH(BI$4,Mat_Type,0))*INDEX(Escalators!$I$44:$U$49,MATCH(BI$4,Escalators!$C$44:$C$49,0),MATCH(BI$5,Escalators!$I$43:$U$43,0))</f>
        <v>0</v>
      </c>
      <c r="BJ9" s="47">
        <f>INDEX(Lab_Mat!$K$6:$N$9,MATCH($H9,Lab_Mat!$J$6:$J$9,0),MATCH($BK$4,Lab_Mat!$K$5:$N$5,0))*$O9*INDEX(Act_Type_Repex_Splits,MATCH($I9,Act_Type_Repex,0),MATCH(BJ$4,Mat_Type,0))*INDEX(Escalators!$I$44:$U$49,MATCH(BJ$4,Escalators!$C$44:$C$49,0),MATCH(BJ$5,Escalators!$I$43:$U$43,0))</f>
        <v>0</v>
      </c>
      <c r="BK9" s="47">
        <f t="shared" ref="BK9:BK13" si="21">SUM(BF9:BJ9)</f>
        <v>0</v>
      </c>
      <c r="BL9" s="47">
        <f>INDEX(Lab_Mat!$K$6:$N$9,MATCH($H9,Lab_Mat!$J$6:$J$9,0),MATCH($BQ$4,Lab_Mat!$K$5:$N$5,0))*$P9*INDEX(Act_Type_Repex_Splits,MATCH($I9,Act_Type_Repex,0),MATCH(BL$4,Mat_Type,0))*INDEX(Escalators!$I$44:$U$49,MATCH(BL$4,Escalators!$C$44:$C$49,0),MATCH(BL$5,Escalators!$I$43:$U$43,0))</f>
        <v>0</v>
      </c>
      <c r="BM9" s="47">
        <f>INDEX(Lab_Mat!$K$6:$N$9,MATCH($H9,Lab_Mat!$J$6:$J$9,0),MATCH($BQ$4,Lab_Mat!$K$5:$N$5,0))*$P9*INDEX(Act_Type_Repex_Splits,MATCH($I9,Act_Type_Repex,0),MATCH(BM$4,Mat_Type,0))*INDEX(Escalators!$I$44:$U$49,MATCH(BM$4,Escalators!$C$44:$C$49,0),MATCH(BM$5,Escalators!$I$43:$U$43,0))</f>
        <v>0</v>
      </c>
      <c r="BN9" s="47">
        <f>INDEX(Lab_Mat!$K$6:$N$9,MATCH($H9,Lab_Mat!$J$6:$J$9,0),MATCH($BQ$4,Lab_Mat!$K$5:$N$5,0))*$P9*INDEX(Act_Type_Repex_Splits,MATCH($I9,Act_Type_Repex,0),MATCH(BN$4,Mat_Type,0))*INDEX(Escalators!$I$44:$U$49,MATCH(BN$4,Escalators!$C$44:$C$49,0),MATCH(BN$5,Escalators!$I$43:$U$43,0))</f>
        <v>0</v>
      </c>
      <c r="BO9" s="47">
        <f>INDEX(Lab_Mat!$K$6:$N$9,MATCH($H9,Lab_Mat!$J$6:$J$9,0),MATCH($BQ$4,Lab_Mat!$K$5:$N$5,0))*$P9*INDEX(Act_Type_Repex_Splits,MATCH($I9,Act_Type_Repex,0),MATCH(BO$4,Mat_Type,0))*INDEX(Escalators!$I$44:$U$49,MATCH(BO$4,Escalators!$C$44:$C$49,0),MATCH(BO$5,Escalators!$I$43:$U$43,0))</f>
        <v>0</v>
      </c>
      <c r="BP9" s="47">
        <f>INDEX(Lab_Mat!$K$6:$N$9,MATCH($H9,Lab_Mat!$J$6:$J$9,0),MATCH($BQ$4,Lab_Mat!$K$5:$N$5,0))*$P9*INDEX(Act_Type_Repex_Splits,MATCH($I9,Act_Type_Repex,0),MATCH(BP$4,Mat_Type,0))*INDEX(Escalators!$I$44:$U$49,MATCH(BP$4,Escalators!$C$44:$C$49,0),MATCH(BP$5,Escalators!$I$43:$U$43,0))</f>
        <v>0</v>
      </c>
      <c r="BQ9" s="47">
        <f t="shared" ref="BQ9:BQ13" si="22">SUM(BL9:BP9)</f>
        <v>0</v>
      </c>
      <c r="BR9" s="47">
        <f>INDEX(Lab_Mat!$K$6:$N$9,MATCH($H9,Lab_Mat!$J$6:$J$9,0),MATCH($BW$4,Lab_Mat!$K$5:$N$5,0))*$Q9*INDEX(Act_Type_Repex_Splits,MATCH($I9,Act_Type_Repex,0),MATCH(BR$4,Mat_Type,0))*INDEX(Escalators!$I$44:$U$49,MATCH(BR$4,Escalators!$C$44:$C$49,0),MATCH(BR$5,Escalators!$I$43:$U$43,0))</f>
        <v>0</v>
      </c>
      <c r="BS9" s="47">
        <f>INDEX(Lab_Mat!$K$6:$N$9,MATCH($H9,Lab_Mat!$J$6:$J$9,0),MATCH($BW$4,Lab_Mat!$K$5:$N$5,0))*$Q9*INDEX(Act_Type_Repex_Splits,MATCH($I9,Act_Type_Repex,0),MATCH(BS$4,Mat_Type,0))*INDEX(Escalators!$I$44:$U$49,MATCH(BS$4,Escalators!$C$44:$C$49,0),MATCH(BS$5,Escalators!$I$43:$U$43,0))</f>
        <v>0</v>
      </c>
      <c r="BT9" s="47">
        <f>INDEX(Lab_Mat!$K$6:$N$9,MATCH($H9,Lab_Mat!$J$6:$J$9,0),MATCH($BW$4,Lab_Mat!$K$5:$N$5,0))*$Q9*INDEX(Act_Type_Repex_Splits,MATCH($I9,Act_Type_Repex,0),MATCH(BT$4,Mat_Type,0))*INDEX(Escalators!$I$44:$U$49,MATCH(BT$4,Escalators!$C$44:$C$49,0),MATCH(BT$5,Escalators!$I$43:$U$43,0))</f>
        <v>0</v>
      </c>
      <c r="BU9" s="47">
        <f>INDEX(Lab_Mat!$K$6:$N$9,MATCH($H9,Lab_Mat!$J$6:$J$9,0),MATCH($BW$4,Lab_Mat!$K$5:$N$5,0))*$Q9*INDEX(Act_Type_Repex_Splits,MATCH($I9,Act_Type_Repex,0),MATCH(BU$4,Mat_Type,0))*INDEX(Escalators!$I$44:$U$49,MATCH(BU$4,Escalators!$C$44:$C$49,0),MATCH(BU$5,Escalators!$I$43:$U$43,0))</f>
        <v>0</v>
      </c>
      <c r="BV9" s="47">
        <f>INDEX(Lab_Mat!$K$6:$N$9,MATCH($H9,Lab_Mat!$J$6:$J$9,0),MATCH($BW$4,Lab_Mat!$K$5:$N$5,0))*$Q9*INDEX(Act_Type_Repex_Splits,MATCH($I9,Act_Type_Repex,0),MATCH(BV$4,Mat_Type,0))*INDEX(Escalators!$I$44:$U$49,MATCH(BV$4,Escalators!$C$44:$C$49,0),MATCH(BV$5,Escalators!$I$43:$U$43,0))</f>
        <v>0</v>
      </c>
      <c r="BW9" s="47">
        <f t="shared" ref="BW9:BW13" si="23">SUM(BR9:BV9)</f>
        <v>0</v>
      </c>
      <c r="BY9" s="47">
        <f>INDEX(Lab_Mat!$K$6:$N$9,MATCH($H9,Lab_Mat!$J$6:$J$9,0),MATCH($BY$4,Lab_Mat!$K$5:$N$5,0))*J9*HLOOKUP(BY$5,Escalators!$I$25:$U$30,6,FALSE)</f>
        <v>0</v>
      </c>
      <c r="BZ9" s="47">
        <f>INDEX(Lab_Mat!$K$6:$N$9,MATCH($H9,Lab_Mat!$J$6:$J$9,0),MATCH($BY$4,Lab_Mat!$K$5:$N$5,0))*K9*HLOOKUP(BZ$5,Escalators!$I$25:$U$30,6,FALSE)</f>
        <v>0</v>
      </c>
      <c r="CA9" s="47">
        <f>INDEX(Lab_Mat!$K$6:$N$9,MATCH($H9,Lab_Mat!$J$6:$J$9,0),MATCH($BY$4,Lab_Mat!$K$5:$N$5,0))*L9*HLOOKUP(CA$5,Escalators!$I$25:$U$30,6,FALSE)</f>
        <v>0</v>
      </c>
      <c r="CB9" s="47">
        <f>INDEX(Lab_Mat!$K$6:$N$9,MATCH($H9,Lab_Mat!$J$6:$J$9,0),MATCH($BY$4,Lab_Mat!$K$5:$N$5,0))*M9*HLOOKUP(CB$5,Escalators!$I$25:$U$30,6,FALSE)</f>
        <v>0</v>
      </c>
      <c r="CC9" s="47">
        <f>INDEX(Lab_Mat!$K$6:$N$9,MATCH($H9,Lab_Mat!$J$6:$J$9,0),MATCH($BY$4,Lab_Mat!$K$5:$N$5,0))*N9*HLOOKUP(CC$5,Escalators!$I$25:$U$30,6,FALSE)</f>
        <v>0</v>
      </c>
      <c r="CD9" s="47">
        <f>INDEX(Lab_Mat!$K$6:$N$9,MATCH($H9,Lab_Mat!$J$6:$J$9,0),MATCH($BY$4,Lab_Mat!$K$5:$N$5,0))*O9*HLOOKUP(CD$5,Escalators!$I$25:$U$30,6,FALSE)</f>
        <v>0</v>
      </c>
      <c r="CE9" s="47">
        <f>INDEX(Lab_Mat!$K$6:$N$9,MATCH($H9,Lab_Mat!$J$6:$J$9,0),MATCH($BY$4,Lab_Mat!$K$5:$N$5,0))*P9*HLOOKUP(CE$5,Escalators!$I$25:$U$30,6,FALSE)</f>
        <v>0</v>
      </c>
      <c r="CF9" s="47">
        <f>INDEX(Lab_Mat!$K$6:$N$9,MATCH($H9,Lab_Mat!$J$6:$J$9,0),MATCH($BY$4,Lab_Mat!$K$5:$N$5,0))*Q9*HLOOKUP(CF$5,Escalators!$I$25:$U$30,6,FALSE)</f>
        <v>0</v>
      </c>
      <c r="CH9" s="47">
        <f>INDEX(Lab_Mat!$K$6:$N$9,MATCH($H9,Lab_Mat!$J$6:$J$9,0),MATCH($CH$4,Lab_Mat!$K$5:$N$5,0))*J9</f>
        <v>0</v>
      </c>
      <c r="CI9" s="47">
        <f>INDEX(Lab_Mat!$K$6:$N$9,MATCH($H9,Lab_Mat!$J$6:$J$9,0),MATCH($CH$4,Lab_Mat!$K$5:$N$5,0))*K9</f>
        <v>0</v>
      </c>
      <c r="CJ9" s="47">
        <f>INDEX(Lab_Mat!$K$6:$N$9,MATCH($H9,Lab_Mat!$J$6:$J$9,0),MATCH($CH$4,Lab_Mat!$K$5:$N$5,0))*L9</f>
        <v>0</v>
      </c>
      <c r="CK9" s="47">
        <f>INDEX(Lab_Mat!$K$6:$N$9,MATCH($H9,Lab_Mat!$J$6:$J$9,0),MATCH($CH$4,Lab_Mat!$K$5:$N$5,0))*M9</f>
        <v>0</v>
      </c>
      <c r="CL9" s="47">
        <f>INDEX(Lab_Mat!$K$6:$N$9,MATCH($H9,Lab_Mat!$J$6:$J$9,0),MATCH($CH$4,Lab_Mat!$K$5:$N$5,0))*N9</f>
        <v>0</v>
      </c>
      <c r="CM9" s="47">
        <f>INDEX(Lab_Mat!$K$6:$N$9,MATCH($H9,Lab_Mat!$J$6:$J$9,0),MATCH($CH$4,Lab_Mat!$K$5:$N$5,0))*O9</f>
        <v>0</v>
      </c>
      <c r="CN9" s="47">
        <f>INDEX(Lab_Mat!$K$6:$N$9,MATCH($H9,Lab_Mat!$J$6:$J$9,0),MATCH($CH$4,Lab_Mat!$K$5:$N$5,0))*P9</f>
        <v>0</v>
      </c>
      <c r="CO9" s="47">
        <f>INDEX(Lab_Mat!$K$6:$N$9,MATCH($H9,Lab_Mat!$J$6:$J$9,0),MATCH($CH$4,Lab_Mat!$K$5:$N$5,0))*Q9</f>
        <v>0</v>
      </c>
      <c r="CQ9" s="47">
        <f t="shared" ref="CQ9:CQ29" si="24">S9+AG9+BY9+CH9</f>
        <v>0</v>
      </c>
      <c r="CR9" s="47">
        <f t="shared" ref="CR9:CR29" si="25">T9+AM9+BZ9+CI9</f>
        <v>0</v>
      </c>
      <c r="CS9" s="47">
        <f t="shared" ref="CS9:CS29" si="26">U9+AS9+CA9+CJ9</f>
        <v>0</v>
      </c>
      <c r="CT9" s="47">
        <f t="shared" ref="CT9:CT29" si="27">V9+AY9+CB9+CK9</f>
        <v>0</v>
      </c>
      <c r="CU9" s="47">
        <f t="shared" ref="CU9:CU29" si="28">W9+BE9+CC9+CL9</f>
        <v>0</v>
      </c>
      <c r="CV9" s="47">
        <f t="shared" ref="CV9:CV29" si="29">X9+BK9+CD9+CM9</f>
        <v>0</v>
      </c>
      <c r="CW9" s="47">
        <f t="shared" ref="CW9:CW29" si="30">Y9+BQ9+CE9+CN9</f>
        <v>0</v>
      </c>
      <c r="CX9" s="47">
        <f t="shared" ref="CX9:CX29" si="31">Z9+BW9+CF9+CO9</f>
        <v>0</v>
      </c>
      <c r="CY9" s="39"/>
      <c r="CZ9" s="39"/>
      <c r="DA9" s="39"/>
      <c r="DB9" s="39"/>
      <c r="DC9" s="39"/>
    </row>
    <row r="10" spans="2:109" x14ac:dyDescent="0.3">
      <c r="B10" s="7"/>
      <c r="C10" s="7" t="s">
        <v>413</v>
      </c>
      <c r="D10" s="7" t="s">
        <v>692</v>
      </c>
      <c r="E10" s="7" t="s">
        <v>45</v>
      </c>
      <c r="F10" s="7" t="s">
        <v>55</v>
      </c>
      <c r="G10" s="7" t="s">
        <v>150</v>
      </c>
      <c r="H10" s="7" t="s">
        <v>561</v>
      </c>
      <c r="I10" s="7" t="s">
        <v>203</v>
      </c>
      <c r="J10" s="45"/>
      <c r="K10" s="45"/>
      <c r="L10" s="45"/>
      <c r="M10" s="45">
        <v>0</v>
      </c>
      <c r="N10" s="45">
        <v>0</v>
      </c>
      <c r="O10" s="45">
        <v>0</v>
      </c>
      <c r="P10" s="45"/>
      <c r="Q10" s="45"/>
      <c r="S10" s="47">
        <f>INDEX(Lab_Mat!$K$6:$N$9,MATCH($H10,Lab_Mat!$J$6:$J$9,0),MATCH($S$4,Lab_Mat!$K$5:$N$5,0))*J10*HLOOKUP(S$5,Escalators!$I$25:$U$30,3,FALSE)</f>
        <v>0</v>
      </c>
      <c r="T10" s="47">
        <f>INDEX(Lab_Mat!$K$6:$N$9,MATCH($H10,Lab_Mat!$J$6:$J$9,0),MATCH($S$4,Lab_Mat!$K$5:$N$5,0))*K10*HLOOKUP(T$5,Escalators!$I$25:$U$30,3,FALSE)</f>
        <v>0</v>
      </c>
      <c r="U10" s="47">
        <f>INDEX(Lab_Mat!$K$6:$N$9,MATCH($H10,Lab_Mat!$J$6:$J$9,0),MATCH($S$4,Lab_Mat!$K$5:$N$5,0))*L10*HLOOKUP(U$5,Escalators!$I$25:$U$30,3,FALSE)</f>
        <v>0</v>
      </c>
      <c r="V10" s="47">
        <f>INDEX(Lab_Mat!$K$6:$N$9,MATCH($H10,Lab_Mat!$J$6:$J$9,0),MATCH($S$4,Lab_Mat!$K$5:$N$5,0))*M10*HLOOKUP(V$5,Escalators!$I$25:$U$30,3,FALSE)</f>
        <v>0</v>
      </c>
      <c r="W10" s="47">
        <f>INDEX(Lab_Mat!$K$6:$N$9,MATCH($H10,Lab_Mat!$J$6:$J$9,0),MATCH($S$4,Lab_Mat!$K$5:$N$5,0))*N10*HLOOKUP(W$5,Escalators!$I$25:$U$30,3,FALSE)</f>
        <v>0</v>
      </c>
      <c r="X10" s="47">
        <f>INDEX(Lab_Mat!$K$6:$N$9,MATCH($H10,Lab_Mat!$J$6:$J$9,0),MATCH($S$4,Lab_Mat!$K$5:$N$5,0))*O10*HLOOKUP(X$5,Escalators!$I$25:$U$30,3,FALSE)</f>
        <v>0</v>
      </c>
      <c r="Y10" s="47">
        <f>INDEX(Lab_Mat!$K$6:$N$9,MATCH($H10,Lab_Mat!$J$6:$J$9,0),MATCH($S$4,Lab_Mat!$K$5:$N$5,0))*P10*HLOOKUP(Y$5,Escalators!$I$25:$U$30,3,FALSE)</f>
        <v>0</v>
      </c>
      <c r="Z10" s="47">
        <f>INDEX(Lab_Mat!$K$6:$N$9,MATCH($H10,Lab_Mat!$J$6:$J$9,0),MATCH($S$4,Lab_Mat!$K$5:$N$5,0))*Q10*HLOOKUP(Z$5,Escalators!$I$25:$U$30,3,FALSE)</f>
        <v>0</v>
      </c>
      <c r="AB10" s="47">
        <f>INDEX(Lab_Mat!$K$6:$N$9,MATCH($H10,Lab_Mat!$J$6:$J$9,0),MATCH($AG$4,Lab_Mat!$K$5:$N$5,0))*$J10*INDEX(Act_Type_Repex_Splits,MATCH($I10,Act_Type_Repex,0),MATCH(AB$4,Mat_Type,0))*INDEX(Escalators!$I$44:$Q$49,MATCH(AB$4,Escalators!$C$44:$C$49,0),MATCH(AB$5,Escalators!$I$43:$Q$43,0))</f>
        <v>0</v>
      </c>
      <c r="AC10" s="47">
        <f>INDEX(Lab_Mat!$K$6:$N$9,MATCH($H10,Lab_Mat!$J$6:$J$9,0),MATCH($AG$4,Lab_Mat!$K$5:$N$5,0))*$J10*INDEX(Act_Type_Repex_Splits,MATCH($I10,Act_Type_Repex,0),MATCH(AC$4,Mat_Type,0))*INDEX(Escalators!$I$44:$Q$49,MATCH(AC$4,Escalators!$C$44:$C$49,0),MATCH(AC$5,Escalators!$I$43:$Q$43,0))</f>
        <v>0</v>
      </c>
      <c r="AD10" s="47">
        <f>INDEX(Lab_Mat!$K$6:$N$9,MATCH($H10,Lab_Mat!$J$6:$J$9,0),MATCH($AG$4,Lab_Mat!$K$5:$N$5,0))*$J10*INDEX(Act_Type_Repex_Splits,MATCH($I10,Act_Type_Repex,0),MATCH(AD$4,Mat_Type,0))*INDEX(Escalators!$I$44:$Q$49,MATCH(AD$4,Escalators!$C$44:$C$49,0),MATCH(AD$5,Escalators!$I$43:$Q$43,0))</f>
        <v>0</v>
      </c>
      <c r="AE10" s="47">
        <f>INDEX(Lab_Mat!$K$6:$N$9,MATCH($H10,Lab_Mat!$J$6:$J$9,0),MATCH($AG$4,Lab_Mat!$K$5:$N$5,0))*$J10*INDEX(Act_Type_Repex_Splits,MATCH($I10,Act_Type_Repex,0),MATCH(AE$4,Mat_Type,0))*INDEX(Escalators!$I$44:$Q$49,MATCH(AE$4,Escalators!$C$44:$C$49,0),MATCH(AE$5,Escalators!$I$43:$Q$43,0))</f>
        <v>0</v>
      </c>
      <c r="AF10" s="47">
        <f>INDEX(Lab_Mat!$K$6:$N$9,MATCH($H10,Lab_Mat!$J$6:$J$9,0),MATCH($AG$4,Lab_Mat!$K$5:$N$5,0))*$J10*INDEX(Act_Type_Repex_Splits,MATCH($I10,Act_Type_Repex,0),MATCH(AF$4,Mat_Type,0))*INDEX(Escalators!$I$44:$Q$49,MATCH(AF$4,Escalators!$C$44:$C$49,0),MATCH(AF$5,Escalators!$I$43:$Q$43,0))</f>
        <v>0</v>
      </c>
      <c r="AG10" s="47">
        <f t="shared" si="16"/>
        <v>0</v>
      </c>
      <c r="AH10" s="47">
        <f>INDEX(Lab_Mat!$K$6:$N$9,MATCH($H10,Lab_Mat!$J$6:$J$9,0),MATCH($AY$4,Lab_Mat!$K$5:$N$5,0))*$K10*INDEX(Act_Type_Repex_Splits,MATCH($I10,Act_Type_Repex,0),MATCH(AH$4,Mat_Type,0))*INDEX(Escalators!$I$44:$U$49,MATCH(AH$4,Escalators!$C$44:$C$49,0),MATCH(AH$5,Escalators!$I$43:$U$43,0))</f>
        <v>0</v>
      </c>
      <c r="AI10" s="47">
        <f>INDEX(Lab_Mat!$K$6:$N$9,MATCH($H10,Lab_Mat!$J$6:$J$9,0),MATCH($AY$4,Lab_Mat!$K$5:$N$5,0))*$K10*INDEX(Act_Type_Repex_Splits,MATCH($I10,Act_Type_Repex,0),MATCH(AI$4,Mat_Type,0))*INDEX(Escalators!$I$44:$U$49,MATCH(AI$4,Escalators!$C$44:$C$49,0),MATCH(AI$5,Escalators!$I$43:$U$43,0))</f>
        <v>0</v>
      </c>
      <c r="AJ10" s="47">
        <f>INDEX(Lab_Mat!$K$6:$N$9,MATCH($H10,Lab_Mat!$J$6:$J$9,0),MATCH($AY$4,Lab_Mat!$K$5:$N$5,0))*$K10*INDEX(Act_Type_Repex_Splits,MATCH($I10,Act_Type_Repex,0),MATCH(AJ$4,Mat_Type,0))*INDEX(Escalators!$I$44:$U$49,MATCH(AJ$4,Escalators!$C$44:$C$49,0),MATCH(AJ$5,Escalators!$I$43:$U$43,0))</f>
        <v>0</v>
      </c>
      <c r="AK10" s="47">
        <f>INDEX(Lab_Mat!$K$6:$N$9,MATCH($H10,Lab_Mat!$J$6:$J$9,0),MATCH($AY$4,Lab_Mat!$K$5:$N$5,0))*$K10*INDEX(Act_Type_Repex_Splits,MATCH($I10,Act_Type_Repex,0),MATCH(AK$4,Mat_Type,0))*INDEX(Escalators!$I$44:$U$49,MATCH(AK$4,Escalators!$C$44:$C$49,0),MATCH(AK$5,Escalators!$I$43:$U$43,0))</f>
        <v>0</v>
      </c>
      <c r="AL10" s="47">
        <f>INDEX(Lab_Mat!$K$6:$N$9,MATCH($H10,Lab_Mat!$J$6:$J$9,0),MATCH($AY$4,Lab_Mat!$K$5:$N$5,0))*$K10*INDEX(Act_Type_Repex_Splits,MATCH($I10,Act_Type_Repex,0),MATCH(AL$4,Mat_Type,0))*INDEX(Escalators!$I$44:$U$49,MATCH(AL$4,Escalators!$C$44:$C$49,0),MATCH(AL$5,Escalators!$I$43:$U$43,0))</f>
        <v>0</v>
      </c>
      <c r="AM10" s="47">
        <f t="shared" si="17"/>
        <v>0</v>
      </c>
      <c r="AN10" s="47">
        <f>INDEX(Lab_Mat!$K$6:$N$9,MATCH($H10,Lab_Mat!$J$6:$J$9,0),MATCH($AY$4,Lab_Mat!$K$5:$N$5,0))*$L10*INDEX(Act_Type_Repex_Splits,MATCH($I10,Act_Type_Repex,0),MATCH(AN$4,Mat_Type,0))*INDEX(Escalators!$I$44:$U$49,MATCH(AN$4,Escalators!$C$44:$C$49,0),MATCH(AN$5,Escalators!$I$43:$U$43,0))</f>
        <v>0</v>
      </c>
      <c r="AO10" s="47">
        <f>INDEX(Lab_Mat!$K$6:$N$9,MATCH($H10,Lab_Mat!$J$6:$J$9,0),MATCH($AY$4,Lab_Mat!$K$5:$N$5,0))*$L10*INDEX(Act_Type_Repex_Splits,MATCH($I10,Act_Type_Repex,0),MATCH(AO$4,Mat_Type,0))*INDEX(Escalators!$I$44:$U$49,MATCH(AO$4,Escalators!$C$44:$C$49,0),MATCH(AO$5,Escalators!$I$43:$U$43,0))</f>
        <v>0</v>
      </c>
      <c r="AP10" s="47">
        <f>INDEX(Lab_Mat!$K$6:$N$9,MATCH($H10,Lab_Mat!$J$6:$J$9,0),MATCH($AY$4,Lab_Mat!$K$5:$N$5,0))*$L10*INDEX(Act_Type_Repex_Splits,MATCH($I10,Act_Type_Repex,0),MATCH(AP$4,Mat_Type,0))*INDEX(Escalators!$I$44:$U$49,MATCH(AP$4,Escalators!$C$44:$C$49,0),MATCH(AP$5,Escalators!$I$43:$U$43,0))</f>
        <v>0</v>
      </c>
      <c r="AQ10" s="47">
        <f>INDEX(Lab_Mat!$K$6:$N$9,MATCH($H10,Lab_Mat!$J$6:$J$9,0),MATCH($AY$4,Lab_Mat!$K$5:$N$5,0))*$L10*INDEX(Act_Type_Repex_Splits,MATCH($I10,Act_Type_Repex,0),MATCH(AQ$4,Mat_Type,0))*INDEX(Escalators!$I$44:$U$49,MATCH(AQ$4,Escalators!$C$44:$C$49,0),MATCH(AQ$5,Escalators!$I$43:$U$43,0))</f>
        <v>0</v>
      </c>
      <c r="AR10" s="47">
        <f>INDEX(Lab_Mat!$K$6:$N$9,MATCH($H10,Lab_Mat!$J$6:$J$9,0),MATCH($AY$4,Lab_Mat!$K$5:$N$5,0))*$L10*INDEX(Act_Type_Repex_Splits,MATCH($I10,Act_Type_Repex,0),MATCH(AR$4,Mat_Type,0))*INDEX(Escalators!$I$44:$U$49,MATCH(AR$4,Escalators!$C$44:$C$49,0),MATCH(AR$5,Escalators!$I$43:$U$43,0))</f>
        <v>0</v>
      </c>
      <c r="AS10" s="47">
        <f t="shared" si="18"/>
        <v>0</v>
      </c>
      <c r="AT10" s="47">
        <f>INDEX(Lab_Mat!$K$6:$N$9,MATCH($H10,Lab_Mat!$J$6:$J$9,0),MATCH($AY$4,Lab_Mat!$K$5:$N$5,0))*$M10*INDEX(Act_Type_Repex_Splits,MATCH($I10,Act_Type_Repex,0),MATCH(AT$4,Mat_Type,0))*INDEX(Escalators!$I$44:$U$49,MATCH(AT$4,Escalators!$C$44:$C$49,0),MATCH(AT$5,Escalators!$I$43:$U$43,0))</f>
        <v>0</v>
      </c>
      <c r="AU10" s="47">
        <f>INDEX(Lab_Mat!$K$6:$N$9,MATCH($H10,Lab_Mat!$J$6:$J$9,0),MATCH($AY$4,Lab_Mat!$K$5:$N$5,0))*$M10*INDEX(Act_Type_Repex_Splits,MATCH($I10,Act_Type_Repex,0),MATCH(AU$4,Mat_Type,0))*INDEX(Escalators!$I$44:$U$49,MATCH(AU$4,Escalators!$C$44:$C$49,0),MATCH(AU$5,Escalators!$I$43:$U$43,0))</f>
        <v>0</v>
      </c>
      <c r="AV10" s="47">
        <f>INDEX(Lab_Mat!$K$6:$N$9,MATCH($H10,Lab_Mat!$J$6:$J$9,0),MATCH($AY$4,Lab_Mat!$K$5:$N$5,0))*$M10*INDEX(Act_Type_Repex_Splits,MATCH($I10,Act_Type_Repex,0),MATCH(AV$4,Mat_Type,0))*INDEX(Escalators!$I$44:$U$49,MATCH(AV$4,Escalators!$C$44:$C$49,0),MATCH(AV$5,Escalators!$I$43:$U$43,0))</f>
        <v>0</v>
      </c>
      <c r="AW10" s="47">
        <f>INDEX(Lab_Mat!$K$6:$N$9,MATCH($H10,Lab_Mat!$J$6:$J$9,0),MATCH($AY$4,Lab_Mat!$K$5:$N$5,0))*$M10*INDEX(Act_Type_Repex_Splits,MATCH($I10,Act_Type_Repex,0),MATCH(AW$4,Mat_Type,0))*INDEX(Escalators!$I$44:$U$49,MATCH(AW$4,Escalators!$C$44:$C$49,0),MATCH(AW$5,Escalators!$I$43:$U$43,0))</f>
        <v>0</v>
      </c>
      <c r="AX10" s="47">
        <f>INDEX(Lab_Mat!$K$6:$N$9,MATCH($H10,Lab_Mat!$J$6:$J$9,0),MATCH($AY$4,Lab_Mat!$K$5:$N$5,0))*$M10*INDEX(Act_Type_Repex_Splits,MATCH($I10,Act_Type_Repex,0),MATCH(AX$4,Mat_Type,0))*INDEX(Escalators!$I$44:$U$49,MATCH(AX$4,Escalators!$C$44:$C$49,0),MATCH(AX$5,Escalators!$I$43:$U$43,0))</f>
        <v>0</v>
      </c>
      <c r="AY10" s="47">
        <f t="shared" si="19"/>
        <v>0</v>
      </c>
      <c r="AZ10" s="47">
        <f>INDEX(Lab_Mat!$K$6:$N$9,MATCH($H10,Lab_Mat!$J$6:$J$9,0),MATCH($BE$4,Lab_Mat!$K$5:$N$5,0))*$N10*INDEX(Act_Type_Repex_Splits,MATCH($I10,Act_Type_Repex,0),MATCH(AZ$4,Mat_Type,0))*INDEX(Escalators!$I$44:$U$49,MATCH(AZ$4,Escalators!$C$44:$C$49,0),MATCH(AZ$5,Escalators!$I$43:$U$43,0))</f>
        <v>0</v>
      </c>
      <c r="BA10" s="47">
        <f>INDEX(Lab_Mat!$K$6:$N$9,MATCH($H10,Lab_Mat!$J$6:$J$9,0),MATCH($BE$4,Lab_Mat!$K$5:$N$5,0))*$N10*INDEX(Act_Type_Repex_Splits,MATCH($I10,Act_Type_Repex,0),MATCH(BA$4,Mat_Type,0))*INDEX(Escalators!$I$44:$U$49,MATCH(BA$4,Escalators!$C$44:$C$49,0),MATCH(BA$5,Escalators!$I$43:$U$43,0))</f>
        <v>0</v>
      </c>
      <c r="BB10" s="47">
        <f>INDEX(Lab_Mat!$K$6:$N$9,MATCH($H10,Lab_Mat!$J$6:$J$9,0),MATCH($BE$4,Lab_Mat!$K$5:$N$5,0))*$N10*INDEX(Act_Type_Repex_Splits,MATCH($I10,Act_Type_Repex,0),MATCH(BB$4,Mat_Type,0))*INDEX(Escalators!$I$44:$U$49,MATCH(BB$4,Escalators!$C$44:$C$49,0),MATCH(BB$5,Escalators!$I$43:$U$43,0))</f>
        <v>0</v>
      </c>
      <c r="BC10" s="47">
        <f>INDEX(Lab_Mat!$K$6:$N$9,MATCH($H10,Lab_Mat!$J$6:$J$9,0),MATCH($BE$4,Lab_Mat!$K$5:$N$5,0))*$N10*INDEX(Act_Type_Repex_Splits,MATCH($I10,Act_Type_Repex,0),MATCH(BC$4,Mat_Type,0))*INDEX(Escalators!$I$44:$U$49,MATCH(BC$4,Escalators!$C$44:$C$49,0),MATCH(BC$5,Escalators!$I$43:$U$43,0))</f>
        <v>0</v>
      </c>
      <c r="BD10" s="47">
        <f>INDEX(Lab_Mat!$K$6:$N$9,MATCH($H10,Lab_Mat!$J$6:$J$9,0),MATCH($BE$4,Lab_Mat!$K$5:$N$5,0))*$N10*INDEX(Act_Type_Repex_Splits,MATCH($I10,Act_Type_Repex,0),MATCH(BD$4,Mat_Type,0))*INDEX(Escalators!$I$44:$U$49,MATCH(BD$4,Escalators!$C$44:$C$49,0),MATCH(BD$5,Escalators!$I$43:$U$43,0))</f>
        <v>0</v>
      </c>
      <c r="BE10" s="47">
        <f t="shared" si="20"/>
        <v>0</v>
      </c>
      <c r="BF10" s="47">
        <f>INDEX(Lab_Mat!$K$6:$N$9,MATCH($H10,Lab_Mat!$J$6:$J$9,0),MATCH($BK$4,Lab_Mat!$K$5:$N$5,0))*$O10*INDEX(Act_Type_Repex_Splits,MATCH($I10,Act_Type_Repex,0),MATCH(BF$4,Mat_Type,0))*INDEX(Escalators!$I$44:$U$49,MATCH(BF$4,Escalators!$C$44:$C$49,0),MATCH(BF$5,Escalators!$I$43:$U$43,0))</f>
        <v>0</v>
      </c>
      <c r="BG10" s="47">
        <f>INDEX(Lab_Mat!$K$6:$N$9,MATCH($H10,Lab_Mat!$J$6:$J$9,0),MATCH($BK$4,Lab_Mat!$K$5:$N$5,0))*$O10*INDEX(Act_Type_Repex_Splits,MATCH($I10,Act_Type_Repex,0),MATCH(BG$4,Mat_Type,0))*INDEX(Escalators!$I$44:$U$49,MATCH(BG$4,Escalators!$C$44:$C$49,0),MATCH(BG$5,Escalators!$I$43:$U$43,0))</f>
        <v>0</v>
      </c>
      <c r="BH10" s="47">
        <f>INDEX(Lab_Mat!$K$6:$N$9,MATCH($H10,Lab_Mat!$J$6:$J$9,0),MATCH($BK$4,Lab_Mat!$K$5:$N$5,0))*$O10*INDEX(Act_Type_Repex_Splits,MATCH($I10,Act_Type_Repex,0),MATCH(BH$4,Mat_Type,0))*INDEX(Escalators!$I$44:$U$49,MATCH(BH$4,Escalators!$C$44:$C$49,0),MATCH(BH$5,Escalators!$I$43:$U$43,0))</f>
        <v>0</v>
      </c>
      <c r="BI10" s="47">
        <f>INDEX(Lab_Mat!$K$6:$N$9,MATCH($H10,Lab_Mat!$J$6:$J$9,0),MATCH($BK$4,Lab_Mat!$K$5:$N$5,0))*$O10*INDEX(Act_Type_Repex_Splits,MATCH($I10,Act_Type_Repex,0),MATCH(BI$4,Mat_Type,0))*INDEX(Escalators!$I$44:$U$49,MATCH(BI$4,Escalators!$C$44:$C$49,0),MATCH(BI$5,Escalators!$I$43:$U$43,0))</f>
        <v>0</v>
      </c>
      <c r="BJ10" s="47">
        <f>INDEX(Lab_Mat!$K$6:$N$9,MATCH($H10,Lab_Mat!$J$6:$J$9,0),MATCH($BK$4,Lab_Mat!$K$5:$N$5,0))*$O10*INDEX(Act_Type_Repex_Splits,MATCH($I10,Act_Type_Repex,0),MATCH(BJ$4,Mat_Type,0))*INDEX(Escalators!$I$44:$U$49,MATCH(BJ$4,Escalators!$C$44:$C$49,0),MATCH(BJ$5,Escalators!$I$43:$U$43,0))</f>
        <v>0</v>
      </c>
      <c r="BK10" s="47">
        <f t="shared" si="21"/>
        <v>0</v>
      </c>
      <c r="BL10" s="47">
        <f>INDEX(Lab_Mat!$K$6:$N$9,MATCH($H10,Lab_Mat!$J$6:$J$9,0),MATCH($BQ$4,Lab_Mat!$K$5:$N$5,0))*$P10*INDEX(Act_Type_Repex_Splits,MATCH($I10,Act_Type_Repex,0),MATCH(BL$4,Mat_Type,0))*INDEX(Escalators!$I$44:$U$49,MATCH(BL$4,Escalators!$C$44:$C$49,0),MATCH(BL$5,Escalators!$I$43:$U$43,0))</f>
        <v>0</v>
      </c>
      <c r="BM10" s="47">
        <f>INDEX(Lab_Mat!$K$6:$N$9,MATCH($H10,Lab_Mat!$J$6:$J$9,0),MATCH($BQ$4,Lab_Mat!$K$5:$N$5,0))*$P10*INDEX(Act_Type_Repex_Splits,MATCH($I10,Act_Type_Repex,0),MATCH(BM$4,Mat_Type,0))*INDEX(Escalators!$I$44:$U$49,MATCH(BM$4,Escalators!$C$44:$C$49,0),MATCH(BM$5,Escalators!$I$43:$U$43,0))</f>
        <v>0</v>
      </c>
      <c r="BN10" s="47">
        <f>INDEX(Lab_Mat!$K$6:$N$9,MATCH($H10,Lab_Mat!$J$6:$J$9,0),MATCH($BQ$4,Lab_Mat!$K$5:$N$5,0))*$P10*INDEX(Act_Type_Repex_Splits,MATCH($I10,Act_Type_Repex,0),MATCH(BN$4,Mat_Type,0))*INDEX(Escalators!$I$44:$U$49,MATCH(BN$4,Escalators!$C$44:$C$49,0),MATCH(BN$5,Escalators!$I$43:$U$43,0))</f>
        <v>0</v>
      </c>
      <c r="BO10" s="47">
        <f>INDEX(Lab_Mat!$K$6:$N$9,MATCH($H10,Lab_Mat!$J$6:$J$9,0),MATCH($BQ$4,Lab_Mat!$K$5:$N$5,0))*$P10*INDEX(Act_Type_Repex_Splits,MATCH($I10,Act_Type_Repex,0),MATCH(BO$4,Mat_Type,0))*INDEX(Escalators!$I$44:$U$49,MATCH(BO$4,Escalators!$C$44:$C$49,0),MATCH(BO$5,Escalators!$I$43:$U$43,0))</f>
        <v>0</v>
      </c>
      <c r="BP10" s="47">
        <f>INDEX(Lab_Mat!$K$6:$N$9,MATCH($H10,Lab_Mat!$J$6:$J$9,0),MATCH($BQ$4,Lab_Mat!$K$5:$N$5,0))*$P10*INDEX(Act_Type_Repex_Splits,MATCH($I10,Act_Type_Repex,0),MATCH(BP$4,Mat_Type,0))*INDEX(Escalators!$I$44:$U$49,MATCH(BP$4,Escalators!$C$44:$C$49,0),MATCH(BP$5,Escalators!$I$43:$U$43,0))</f>
        <v>0</v>
      </c>
      <c r="BQ10" s="47">
        <f t="shared" si="22"/>
        <v>0</v>
      </c>
      <c r="BR10" s="47">
        <f>INDEX(Lab_Mat!$K$6:$N$9,MATCH($H10,Lab_Mat!$J$6:$J$9,0),MATCH($BW$4,Lab_Mat!$K$5:$N$5,0))*$Q10*INDEX(Act_Type_Repex_Splits,MATCH($I10,Act_Type_Repex,0),MATCH(BR$4,Mat_Type,0))*INDEX(Escalators!$I$44:$U$49,MATCH(BR$4,Escalators!$C$44:$C$49,0),MATCH(BR$5,Escalators!$I$43:$U$43,0))</f>
        <v>0</v>
      </c>
      <c r="BS10" s="47">
        <f>INDEX(Lab_Mat!$K$6:$N$9,MATCH($H10,Lab_Mat!$J$6:$J$9,0),MATCH($BW$4,Lab_Mat!$K$5:$N$5,0))*$Q10*INDEX(Act_Type_Repex_Splits,MATCH($I10,Act_Type_Repex,0),MATCH(BS$4,Mat_Type,0))*INDEX(Escalators!$I$44:$U$49,MATCH(BS$4,Escalators!$C$44:$C$49,0),MATCH(BS$5,Escalators!$I$43:$U$43,0))</f>
        <v>0</v>
      </c>
      <c r="BT10" s="47">
        <f>INDEX(Lab_Mat!$K$6:$N$9,MATCH($H10,Lab_Mat!$J$6:$J$9,0),MATCH($BW$4,Lab_Mat!$K$5:$N$5,0))*$Q10*INDEX(Act_Type_Repex_Splits,MATCH($I10,Act_Type_Repex,0),MATCH(BT$4,Mat_Type,0))*INDEX(Escalators!$I$44:$U$49,MATCH(BT$4,Escalators!$C$44:$C$49,0),MATCH(BT$5,Escalators!$I$43:$U$43,0))</f>
        <v>0</v>
      </c>
      <c r="BU10" s="47">
        <f>INDEX(Lab_Mat!$K$6:$N$9,MATCH($H10,Lab_Mat!$J$6:$J$9,0),MATCH($BW$4,Lab_Mat!$K$5:$N$5,0))*$Q10*INDEX(Act_Type_Repex_Splits,MATCH($I10,Act_Type_Repex,0),MATCH(BU$4,Mat_Type,0))*INDEX(Escalators!$I$44:$U$49,MATCH(BU$4,Escalators!$C$44:$C$49,0),MATCH(BU$5,Escalators!$I$43:$U$43,0))</f>
        <v>0</v>
      </c>
      <c r="BV10" s="47">
        <f>INDEX(Lab_Mat!$K$6:$N$9,MATCH($H10,Lab_Mat!$J$6:$J$9,0),MATCH($BW$4,Lab_Mat!$K$5:$N$5,0))*$Q10*INDEX(Act_Type_Repex_Splits,MATCH($I10,Act_Type_Repex,0),MATCH(BV$4,Mat_Type,0))*INDEX(Escalators!$I$44:$U$49,MATCH(BV$4,Escalators!$C$44:$C$49,0),MATCH(BV$5,Escalators!$I$43:$U$43,0))</f>
        <v>0</v>
      </c>
      <c r="BW10" s="47">
        <f t="shared" si="23"/>
        <v>0</v>
      </c>
      <c r="BY10" s="47">
        <f>INDEX(Lab_Mat!$K$6:$N$9,MATCH($H10,Lab_Mat!$J$6:$J$9,0),MATCH($BY$4,Lab_Mat!$K$5:$N$5,0))*J10*HLOOKUP(BY$5,Escalators!$I$25:$U$30,6,FALSE)</f>
        <v>0</v>
      </c>
      <c r="BZ10" s="47">
        <f>INDEX(Lab_Mat!$K$6:$N$9,MATCH($H10,Lab_Mat!$J$6:$J$9,0),MATCH($BY$4,Lab_Mat!$K$5:$N$5,0))*K10*HLOOKUP(BZ$5,Escalators!$I$25:$U$30,6,FALSE)</f>
        <v>0</v>
      </c>
      <c r="CA10" s="47">
        <f>INDEX(Lab_Mat!$K$6:$N$9,MATCH($H10,Lab_Mat!$J$6:$J$9,0),MATCH($BY$4,Lab_Mat!$K$5:$N$5,0))*L10*HLOOKUP(CA$5,Escalators!$I$25:$U$30,6,FALSE)</f>
        <v>0</v>
      </c>
      <c r="CB10" s="47">
        <f>INDEX(Lab_Mat!$K$6:$N$9,MATCH($H10,Lab_Mat!$J$6:$J$9,0),MATCH($BY$4,Lab_Mat!$K$5:$N$5,0))*M10*HLOOKUP(CB$5,Escalators!$I$25:$U$30,6,FALSE)</f>
        <v>0</v>
      </c>
      <c r="CC10" s="47">
        <f>INDEX(Lab_Mat!$K$6:$N$9,MATCH($H10,Lab_Mat!$J$6:$J$9,0),MATCH($BY$4,Lab_Mat!$K$5:$N$5,0))*N10*HLOOKUP(CC$5,Escalators!$I$25:$U$30,6,FALSE)</f>
        <v>0</v>
      </c>
      <c r="CD10" s="47">
        <f>INDEX(Lab_Mat!$K$6:$N$9,MATCH($H10,Lab_Mat!$J$6:$J$9,0),MATCH($BY$4,Lab_Mat!$K$5:$N$5,0))*O10*HLOOKUP(CD$5,Escalators!$I$25:$U$30,6,FALSE)</f>
        <v>0</v>
      </c>
      <c r="CE10" s="47">
        <f>INDEX(Lab_Mat!$K$6:$N$9,MATCH($H10,Lab_Mat!$J$6:$J$9,0),MATCH($BY$4,Lab_Mat!$K$5:$N$5,0))*P10*HLOOKUP(CE$5,Escalators!$I$25:$U$30,6,FALSE)</f>
        <v>0</v>
      </c>
      <c r="CF10" s="47">
        <f>INDEX(Lab_Mat!$K$6:$N$9,MATCH($H10,Lab_Mat!$J$6:$J$9,0),MATCH($BY$4,Lab_Mat!$K$5:$N$5,0))*Q10*HLOOKUP(CF$5,Escalators!$I$25:$U$30,6,FALSE)</f>
        <v>0</v>
      </c>
      <c r="CH10" s="47">
        <f>INDEX(Lab_Mat!$K$6:$N$9,MATCH($H10,Lab_Mat!$J$6:$J$9,0),MATCH($CH$4,Lab_Mat!$K$5:$N$5,0))*J10</f>
        <v>0</v>
      </c>
      <c r="CI10" s="47">
        <f>INDEX(Lab_Mat!$K$6:$N$9,MATCH($H10,Lab_Mat!$J$6:$J$9,0),MATCH($CH$4,Lab_Mat!$K$5:$N$5,0))*K10</f>
        <v>0</v>
      </c>
      <c r="CJ10" s="47">
        <f>INDEX(Lab_Mat!$K$6:$N$9,MATCH($H10,Lab_Mat!$J$6:$J$9,0),MATCH($CH$4,Lab_Mat!$K$5:$N$5,0))*L10</f>
        <v>0</v>
      </c>
      <c r="CK10" s="47">
        <f>INDEX(Lab_Mat!$K$6:$N$9,MATCH($H10,Lab_Mat!$J$6:$J$9,0),MATCH($CH$4,Lab_Mat!$K$5:$N$5,0))*M10</f>
        <v>0</v>
      </c>
      <c r="CL10" s="47">
        <f>INDEX(Lab_Mat!$K$6:$N$9,MATCH($H10,Lab_Mat!$J$6:$J$9,0),MATCH($CH$4,Lab_Mat!$K$5:$N$5,0))*N10</f>
        <v>0</v>
      </c>
      <c r="CM10" s="47">
        <f>INDEX(Lab_Mat!$K$6:$N$9,MATCH($H10,Lab_Mat!$J$6:$J$9,0),MATCH($CH$4,Lab_Mat!$K$5:$N$5,0))*O10</f>
        <v>0</v>
      </c>
      <c r="CN10" s="47">
        <f>INDEX(Lab_Mat!$K$6:$N$9,MATCH($H10,Lab_Mat!$J$6:$J$9,0),MATCH($CH$4,Lab_Mat!$K$5:$N$5,0))*P10</f>
        <v>0</v>
      </c>
      <c r="CO10" s="47">
        <f>INDEX(Lab_Mat!$K$6:$N$9,MATCH($H10,Lab_Mat!$J$6:$J$9,0),MATCH($CH$4,Lab_Mat!$K$5:$N$5,0))*Q10</f>
        <v>0</v>
      </c>
      <c r="CQ10" s="47">
        <f t="shared" si="24"/>
        <v>0</v>
      </c>
      <c r="CR10" s="47">
        <f t="shared" si="25"/>
        <v>0</v>
      </c>
      <c r="CS10" s="47">
        <f t="shared" si="26"/>
        <v>0</v>
      </c>
      <c r="CT10" s="47">
        <f t="shared" si="27"/>
        <v>0</v>
      </c>
      <c r="CU10" s="47">
        <f t="shared" si="28"/>
        <v>0</v>
      </c>
      <c r="CV10" s="47">
        <f t="shared" si="29"/>
        <v>0</v>
      </c>
      <c r="CW10" s="47">
        <f t="shared" si="30"/>
        <v>0</v>
      </c>
      <c r="CX10" s="47">
        <f t="shared" si="31"/>
        <v>0</v>
      </c>
      <c r="CY10" s="39"/>
      <c r="CZ10" s="39"/>
      <c r="DA10" s="39"/>
      <c r="DB10" s="39"/>
      <c r="DC10" s="39"/>
    </row>
    <row r="11" spans="2:109" x14ac:dyDescent="0.3">
      <c r="B11" s="7"/>
      <c r="C11" s="7" t="s">
        <v>414</v>
      </c>
      <c r="D11" s="7" t="s">
        <v>692</v>
      </c>
      <c r="E11" s="7" t="s">
        <v>48</v>
      </c>
      <c r="F11" s="7" t="s">
        <v>55</v>
      </c>
      <c r="G11" s="7" t="s">
        <v>10</v>
      </c>
      <c r="H11" s="7" t="s">
        <v>750</v>
      </c>
      <c r="I11" s="7" t="s">
        <v>204</v>
      </c>
      <c r="J11" s="45"/>
      <c r="K11" s="45"/>
      <c r="L11" s="45"/>
      <c r="M11" s="45">
        <v>0</v>
      </c>
      <c r="N11" s="45">
        <v>0</v>
      </c>
      <c r="O11" s="45">
        <v>0</v>
      </c>
      <c r="P11" s="45"/>
      <c r="Q11" s="45"/>
      <c r="S11" s="47">
        <f>INDEX(Lab_Mat!$K$6:$N$9,MATCH($H11,Lab_Mat!$J$6:$J$9,0),MATCH($S$4,Lab_Mat!$K$5:$N$5,0))*J11*HLOOKUP(S$5,Escalators!$I$25:$U$30,3,FALSE)</f>
        <v>0</v>
      </c>
      <c r="T11" s="47">
        <f>INDEX(Lab_Mat!$K$6:$N$9,MATCH($H11,Lab_Mat!$J$6:$J$9,0),MATCH($S$4,Lab_Mat!$K$5:$N$5,0))*K11*HLOOKUP(T$5,Escalators!$I$25:$U$30,3,FALSE)</f>
        <v>0</v>
      </c>
      <c r="U11" s="47">
        <f>INDEX(Lab_Mat!$K$6:$N$9,MATCH($H11,Lab_Mat!$J$6:$J$9,0),MATCH($S$4,Lab_Mat!$K$5:$N$5,0))*L11*HLOOKUP(U$5,Escalators!$I$25:$U$30,3,FALSE)</f>
        <v>0</v>
      </c>
      <c r="V11" s="47">
        <f>INDEX(Lab_Mat!$K$6:$N$9,MATCH($H11,Lab_Mat!$J$6:$J$9,0),MATCH($S$4,Lab_Mat!$K$5:$N$5,0))*M11*HLOOKUP(V$5,Escalators!$I$25:$U$30,3,FALSE)</f>
        <v>0</v>
      </c>
      <c r="W11" s="47">
        <f>INDEX(Lab_Mat!$K$6:$N$9,MATCH($H11,Lab_Mat!$J$6:$J$9,0),MATCH($S$4,Lab_Mat!$K$5:$N$5,0))*N11*HLOOKUP(W$5,Escalators!$I$25:$U$30,3,FALSE)</f>
        <v>0</v>
      </c>
      <c r="X11" s="47">
        <f>INDEX(Lab_Mat!$K$6:$N$9,MATCH($H11,Lab_Mat!$J$6:$J$9,0),MATCH($S$4,Lab_Mat!$K$5:$N$5,0))*O11*HLOOKUP(X$5,Escalators!$I$25:$U$30,3,FALSE)</f>
        <v>0</v>
      </c>
      <c r="Y11" s="47">
        <f>INDEX(Lab_Mat!$K$6:$N$9,MATCH($H11,Lab_Mat!$J$6:$J$9,0),MATCH($S$4,Lab_Mat!$K$5:$N$5,0))*P11*HLOOKUP(Y$5,Escalators!$I$25:$U$30,3,FALSE)</f>
        <v>0</v>
      </c>
      <c r="Z11" s="47">
        <f>INDEX(Lab_Mat!$K$6:$N$9,MATCH($H11,Lab_Mat!$J$6:$J$9,0),MATCH($S$4,Lab_Mat!$K$5:$N$5,0))*Q11*HLOOKUP(Z$5,Escalators!$I$25:$U$30,3,FALSE)</f>
        <v>0</v>
      </c>
      <c r="AB11" s="47">
        <f>INDEX(Lab_Mat!$K$6:$N$9,MATCH($H11,Lab_Mat!$J$6:$J$9,0),MATCH($AG$4,Lab_Mat!$K$5:$N$5,0))*$J11*INDEX(Act_Type_Repex_Splits,MATCH($I11,Act_Type_Repex,0),MATCH(AB$4,Mat_Type,0))*INDEX(Escalators!$I$44:$Q$49,MATCH(AB$4,Escalators!$C$44:$C$49,0),MATCH(AB$5,Escalators!$I$43:$Q$43,0))</f>
        <v>0</v>
      </c>
      <c r="AC11" s="47">
        <f>INDEX(Lab_Mat!$K$6:$N$9,MATCH($H11,Lab_Mat!$J$6:$J$9,0),MATCH($AG$4,Lab_Mat!$K$5:$N$5,0))*$J11*INDEX(Act_Type_Repex_Splits,MATCH($I11,Act_Type_Repex,0),MATCH(AC$4,Mat_Type,0))*INDEX(Escalators!$I$44:$Q$49,MATCH(AC$4,Escalators!$C$44:$C$49,0),MATCH(AC$5,Escalators!$I$43:$Q$43,0))</f>
        <v>0</v>
      </c>
      <c r="AD11" s="47">
        <f>INDEX(Lab_Mat!$K$6:$N$9,MATCH($H11,Lab_Mat!$J$6:$J$9,0),MATCH($AG$4,Lab_Mat!$K$5:$N$5,0))*$J11*INDEX(Act_Type_Repex_Splits,MATCH($I11,Act_Type_Repex,0),MATCH(AD$4,Mat_Type,0))*INDEX(Escalators!$I$44:$Q$49,MATCH(AD$4,Escalators!$C$44:$C$49,0),MATCH(AD$5,Escalators!$I$43:$Q$43,0))</f>
        <v>0</v>
      </c>
      <c r="AE11" s="47">
        <f>INDEX(Lab_Mat!$K$6:$N$9,MATCH($H11,Lab_Mat!$J$6:$J$9,0),MATCH($AG$4,Lab_Mat!$K$5:$N$5,0))*$J11*INDEX(Act_Type_Repex_Splits,MATCH($I11,Act_Type_Repex,0),MATCH(AE$4,Mat_Type,0))*INDEX(Escalators!$I$44:$Q$49,MATCH(AE$4,Escalators!$C$44:$C$49,0),MATCH(AE$5,Escalators!$I$43:$Q$43,0))</f>
        <v>0</v>
      </c>
      <c r="AF11" s="47">
        <f>INDEX(Lab_Mat!$K$6:$N$9,MATCH($H11,Lab_Mat!$J$6:$J$9,0),MATCH($AG$4,Lab_Mat!$K$5:$N$5,0))*$J11*INDEX(Act_Type_Repex_Splits,MATCH($I11,Act_Type_Repex,0),MATCH(AF$4,Mat_Type,0))*INDEX(Escalators!$I$44:$Q$49,MATCH(AF$4,Escalators!$C$44:$C$49,0),MATCH(AF$5,Escalators!$I$43:$Q$43,0))</f>
        <v>0</v>
      </c>
      <c r="AG11" s="47">
        <f t="shared" si="16"/>
        <v>0</v>
      </c>
      <c r="AH11" s="47">
        <f>INDEX(Lab_Mat!$K$6:$N$9,MATCH($H11,Lab_Mat!$J$6:$J$9,0),MATCH($AY$4,Lab_Mat!$K$5:$N$5,0))*$K11*INDEX(Act_Type_Repex_Splits,MATCH($I11,Act_Type_Repex,0),MATCH(AH$4,Mat_Type,0))*INDEX(Escalators!$I$44:$U$49,MATCH(AH$4,Escalators!$C$44:$C$49,0),MATCH(AH$5,Escalators!$I$43:$U$43,0))</f>
        <v>0</v>
      </c>
      <c r="AI11" s="47">
        <f>INDEX(Lab_Mat!$K$6:$N$9,MATCH($H11,Lab_Mat!$J$6:$J$9,0),MATCH($AY$4,Lab_Mat!$K$5:$N$5,0))*$K11*INDEX(Act_Type_Repex_Splits,MATCH($I11,Act_Type_Repex,0),MATCH(AI$4,Mat_Type,0))*INDEX(Escalators!$I$44:$U$49,MATCH(AI$4,Escalators!$C$44:$C$49,0),MATCH(AI$5,Escalators!$I$43:$U$43,0))</f>
        <v>0</v>
      </c>
      <c r="AJ11" s="47">
        <f>INDEX(Lab_Mat!$K$6:$N$9,MATCH($H11,Lab_Mat!$J$6:$J$9,0),MATCH($AY$4,Lab_Mat!$K$5:$N$5,0))*$K11*INDEX(Act_Type_Repex_Splits,MATCH($I11,Act_Type_Repex,0),MATCH(AJ$4,Mat_Type,0))*INDEX(Escalators!$I$44:$U$49,MATCH(AJ$4,Escalators!$C$44:$C$49,0),MATCH(AJ$5,Escalators!$I$43:$U$43,0))</f>
        <v>0</v>
      </c>
      <c r="AK11" s="47">
        <f>INDEX(Lab_Mat!$K$6:$N$9,MATCH($H11,Lab_Mat!$J$6:$J$9,0),MATCH($AY$4,Lab_Mat!$K$5:$N$5,0))*$K11*INDEX(Act_Type_Repex_Splits,MATCH($I11,Act_Type_Repex,0),MATCH(AK$4,Mat_Type,0))*INDEX(Escalators!$I$44:$U$49,MATCH(AK$4,Escalators!$C$44:$C$49,0),MATCH(AK$5,Escalators!$I$43:$U$43,0))</f>
        <v>0</v>
      </c>
      <c r="AL11" s="47">
        <f>INDEX(Lab_Mat!$K$6:$N$9,MATCH($H11,Lab_Mat!$J$6:$J$9,0),MATCH($AY$4,Lab_Mat!$K$5:$N$5,0))*$K11*INDEX(Act_Type_Repex_Splits,MATCH($I11,Act_Type_Repex,0),MATCH(AL$4,Mat_Type,0))*INDEX(Escalators!$I$44:$U$49,MATCH(AL$4,Escalators!$C$44:$C$49,0),MATCH(AL$5,Escalators!$I$43:$U$43,0))</f>
        <v>0</v>
      </c>
      <c r="AM11" s="47">
        <f t="shared" si="17"/>
        <v>0</v>
      </c>
      <c r="AN11" s="47">
        <f>INDEX(Lab_Mat!$K$6:$N$9,MATCH($H11,Lab_Mat!$J$6:$J$9,0),MATCH($AY$4,Lab_Mat!$K$5:$N$5,0))*$L11*INDEX(Act_Type_Repex_Splits,MATCH($I11,Act_Type_Repex,0),MATCH(AN$4,Mat_Type,0))*INDEX(Escalators!$I$44:$U$49,MATCH(AN$4,Escalators!$C$44:$C$49,0),MATCH(AN$5,Escalators!$I$43:$U$43,0))</f>
        <v>0</v>
      </c>
      <c r="AO11" s="47">
        <f>INDEX(Lab_Mat!$K$6:$N$9,MATCH($H11,Lab_Mat!$J$6:$J$9,0),MATCH($AY$4,Lab_Mat!$K$5:$N$5,0))*$L11*INDEX(Act_Type_Repex_Splits,MATCH($I11,Act_Type_Repex,0),MATCH(AO$4,Mat_Type,0))*INDEX(Escalators!$I$44:$U$49,MATCH(AO$4,Escalators!$C$44:$C$49,0),MATCH(AO$5,Escalators!$I$43:$U$43,0))</f>
        <v>0</v>
      </c>
      <c r="AP11" s="47">
        <f>INDEX(Lab_Mat!$K$6:$N$9,MATCH($H11,Lab_Mat!$J$6:$J$9,0),MATCH($AY$4,Lab_Mat!$K$5:$N$5,0))*$L11*INDEX(Act_Type_Repex_Splits,MATCH($I11,Act_Type_Repex,0),MATCH(AP$4,Mat_Type,0))*INDEX(Escalators!$I$44:$U$49,MATCH(AP$4,Escalators!$C$44:$C$49,0),MATCH(AP$5,Escalators!$I$43:$U$43,0))</f>
        <v>0</v>
      </c>
      <c r="AQ11" s="47">
        <f>INDEX(Lab_Mat!$K$6:$N$9,MATCH($H11,Lab_Mat!$J$6:$J$9,0),MATCH($AY$4,Lab_Mat!$K$5:$N$5,0))*$L11*INDEX(Act_Type_Repex_Splits,MATCH($I11,Act_Type_Repex,0),MATCH(AQ$4,Mat_Type,0))*INDEX(Escalators!$I$44:$U$49,MATCH(AQ$4,Escalators!$C$44:$C$49,0),MATCH(AQ$5,Escalators!$I$43:$U$43,0))</f>
        <v>0</v>
      </c>
      <c r="AR11" s="47">
        <f>INDEX(Lab_Mat!$K$6:$N$9,MATCH($H11,Lab_Mat!$J$6:$J$9,0),MATCH($AY$4,Lab_Mat!$K$5:$N$5,0))*$L11*INDEX(Act_Type_Repex_Splits,MATCH($I11,Act_Type_Repex,0),MATCH(AR$4,Mat_Type,0))*INDEX(Escalators!$I$44:$U$49,MATCH(AR$4,Escalators!$C$44:$C$49,0),MATCH(AR$5,Escalators!$I$43:$U$43,0))</f>
        <v>0</v>
      </c>
      <c r="AS11" s="47">
        <f t="shared" si="18"/>
        <v>0</v>
      </c>
      <c r="AT11" s="47">
        <f>INDEX(Lab_Mat!$K$6:$N$9,MATCH($H11,Lab_Mat!$J$6:$J$9,0),MATCH($AY$4,Lab_Mat!$K$5:$N$5,0))*$M11*INDEX(Act_Type_Repex_Splits,MATCH($I11,Act_Type_Repex,0),MATCH(AT$4,Mat_Type,0))*INDEX(Escalators!$I$44:$U$49,MATCH(AT$4,Escalators!$C$44:$C$49,0),MATCH(AT$5,Escalators!$I$43:$U$43,0))</f>
        <v>0</v>
      </c>
      <c r="AU11" s="47">
        <f>INDEX(Lab_Mat!$K$6:$N$9,MATCH($H11,Lab_Mat!$J$6:$J$9,0),MATCH($AY$4,Lab_Mat!$K$5:$N$5,0))*$M11*INDEX(Act_Type_Repex_Splits,MATCH($I11,Act_Type_Repex,0),MATCH(AU$4,Mat_Type,0))*INDEX(Escalators!$I$44:$U$49,MATCH(AU$4,Escalators!$C$44:$C$49,0),MATCH(AU$5,Escalators!$I$43:$U$43,0))</f>
        <v>0</v>
      </c>
      <c r="AV11" s="47">
        <f>INDEX(Lab_Mat!$K$6:$N$9,MATCH($H11,Lab_Mat!$J$6:$J$9,0),MATCH($AY$4,Lab_Mat!$K$5:$N$5,0))*$M11*INDEX(Act_Type_Repex_Splits,MATCH($I11,Act_Type_Repex,0),MATCH(AV$4,Mat_Type,0))*INDEX(Escalators!$I$44:$U$49,MATCH(AV$4,Escalators!$C$44:$C$49,0),MATCH(AV$5,Escalators!$I$43:$U$43,0))</f>
        <v>0</v>
      </c>
      <c r="AW11" s="47">
        <f>INDEX(Lab_Mat!$K$6:$N$9,MATCH($H11,Lab_Mat!$J$6:$J$9,0),MATCH($AY$4,Lab_Mat!$K$5:$N$5,0))*$M11*INDEX(Act_Type_Repex_Splits,MATCH($I11,Act_Type_Repex,0),MATCH(AW$4,Mat_Type,0))*INDEX(Escalators!$I$44:$U$49,MATCH(AW$4,Escalators!$C$44:$C$49,0),MATCH(AW$5,Escalators!$I$43:$U$43,0))</f>
        <v>0</v>
      </c>
      <c r="AX11" s="47">
        <f>INDEX(Lab_Mat!$K$6:$N$9,MATCH($H11,Lab_Mat!$J$6:$J$9,0),MATCH($AY$4,Lab_Mat!$K$5:$N$5,0))*$M11*INDEX(Act_Type_Repex_Splits,MATCH($I11,Act_Type_Repex,0),MATCH(AX$4,Mat_Type,0))*INDEX(Escalators!$I$44:$U$49,MATCH(AX$4,Escalators!$C$44:$C$49,0),MATCH(AX$5,Escalators!$I$43:$U$43,0))</f>
        <v>0</v>
      </c>
      <c r="AY11" s="47">
        <f t="shared" si="19"/>
        <v>0</v>
      </c>
      <c r="AZ11" s="47">
        <f>INDEX(Lab_Mat!$K$6:$N$9,MATCH($H11,Lab_Mat!$J$6:$J$9,0),MATCH($BE$4,Lab_Mat!$K$5:$N$5,0))*$N11*INDEX(Act_Type_Repex_Splits,MATCH($I11,Act_Type_Repex,0),MATCH(AZ$4,Mat_Type,0))*INDEX(Escalators!$I$44:$U$49,MATCH(AZ$4,Escalators!$C$44:$C$49,0),MATCH(AZ$5,Escalators!$I$43:$U$43,0))</f>
        <v>0</v>
      </c>
      <c r="BA11" s="47">
        <f>INDEX(Lab_Mat!$K$6:$N$9,MATCH($H11,Lab_Mat!$J$6:$J$9,0),MATCH($BE$4,Lab_Mat!$K$5:$N$5,0))*$N11*INDEX(Act_Type_Repex_Splits,MATCH($I11,Act_Type_Repex,0),MATCH(BA$4,Mat_Type,0))*INDEX(Escalators!$I$44:$U$49,MATCH(BA$4,Escalators!$C$44:$C$49,0),MATCH(BA$5,Escalators!$I$43:$U$43,0))</f>
        <v>0</v>
      </c>
      <c r="BB11" s="47">
        <f>INDEX(Lab_Mat!$K$6:$N$9,MATCH($H11,Lab_Mat!$J$6:$J$9,0),MATCH($BE$4,Lab_Mat!$K$5:$N$5,0))*$N11*INDEX(Act_Type_Repex_Splits,MATCH($I11,Act_Type_Repex,0),MATCH(BB$4,Mat_Type,0))*INDEX(Escalators!$I$44:$U$49,MATCH(BB$4,Escalators!$C$44:$C$49,0),MATCH(BB$5,Escalators!$I$43:$U$43,0))</f>
        <v>0</v>
      </c>
      <c r="BC11" s="47">
        <f>INDEX(Lab_Mat!$K$6:$N$9,MATCH($H11,Lab_Mat!$J$6:$J$9,0),MATCH($BE$4,Lab_Mat!$K$5:$N$5,0))*$N11*INDEX(Act_Type_Repex_Splits,MATCH($I11,Act_Type_Repex,0),MATCH(BC$4,Mat_Type,0))*INDEX(Escalators!$I$44:$U$49,MATCH(BC$4,Escalators!$C$44:$C$49,0),MATCH(BC$5,Escalators!$I$43:$U$43,0))</f>
        <v>0</v>
      </c>
      <c r="BD11" s="47">
        <f>INDEX(Lab_Mat!$K$6:$N$9,MATCH($H11,Lab_Mat!$J$6:$J$9,0),MATCH($BE$4,Lab_Mat!$K$5:$N$5,0))*$N11*INDEX(Act_Type_Repex_Splits,MATCH($I11,Act_Type_Repex,0),MATCH(BD$4,Mat_Type,0))*INDEX(Escalators!$I$44:$U$49,MATCH(BD$4,Escalators!$C$44:$C$49,0),MATCH(BD$5,Escalators!$I$43:$U$43,0))</f>
        <v>0</v>
      </c>
      <c r="BE11" s="47">
        <f t="shared" si="20"/>
        <v>0</v>
      </c>
      <c r="BF11" s="47">
        <f>INDEX(Lab_Mat!$K$6:$N$9,MATCH($H11,Lab_Mat!$J$6:$J$9,0),MATCH($BK$4,Lab_Mat!$K$5:$N$5,0))*$O11*INDEX(Act_Type_Repex_Splits,MATCH($I11,Act_Type_Repex,0),MATCH(BF$4,Mat_Type,0))*INDEX(Escalators!$I$44:$U$49,MATCH(BF$4,Escalators!$C$44:$C$49,0),MATCH(BF$5,Escalators!$I$43:$U$43,0))</f>
        <v>0</v>
      </c>
      <c r="BG11" s="47">
        <f>INDEX(Lab_Mat!$K$6:$N$9,MATCH($H11,Lab_Mat!$J$6:$J$9,0),MATCH($BK$4,Lab_Mat!$K$5:$N$5,0))*$O11*INDEX(Act_Type_Repex_Splits,MATCH($I11,Act_Type_Repex,0),MATCH(BG$4,Mat_Type,0))*INDEX(Escalators!$I$44:$U$49,MATCH(BG$4,Escalators!$C$44:$C$49,0),MATCH(BG$5,Escalators!$I$43:$U$43,0))</f>
        <v>0</v>
      </c>
      <c r="BH11" s="47">
        <f>INDEX(Lab_Mat!$K$6:$N$9,MATCH($H11,Lab_Mat!$J$6:$J$9,0),MATCH($BK$4,Lab_Mat!$K$5:$N$5,0))*$O11*INDEX(Act_Type_Repex_Splits,MATCH($I11,Act_Type_Repex,0),MATCH(BH$4,Mat_Type,0))*INDEX(Escalators!$I$44:$U$49,MATCH(BH$4,Escalators!$C$44:$C$49,0),MATCH(BH$5,Escalators!$I$43:$U$43,0))</f>
        <v>0</v>
      </c>
      <c r="BI11" s="47">
        <f>INDEX(Lab_Mat!$K$6:$N$9,MATCH($H11,Lab_Mat!$J$6:$J$9,0),MATCH($BK$4,Lab_Mat!$K$5:$N$5,0))*$O11*INDEX(Act_Type_Repex_Splits,MATCH($I11,Act_Type_Repex,0),MATCH(BI$4,Mat_Type,0))*INDEX(Escalators!$I$44:$U$49,MATCH(BI$4,Escalators!$C$44:$C$49,0),MATCH(BI$5,Escalators!$I$43:$U$43,0))</f>
        <v>0</v>
      </c>
      <c r="BJ11" s="47">
        <f>INDEX(Lab_Mat!$K$6:$N$9,MATCH($H11,Lab_Mat!$J$6:$J$9,0),MATCH($BK$4,Lab_Mat!$K$5:$N$5,0))*$O11*INDEX(Act_Type_Repex_Splits,MATCH($I11,Act_Type_Repex,0),MATCH(BJ$4,Mat_Type,0))*INDEX(Escalators!$I$44:$U$49,MATCH(BJ$4,Escalators!$C$44:$C$49,0),MATCH(BJ$5,Escalators!$I$43:$U$43,0))</f>
        <v>0</v>
      </c>
      <c r="BK11" s="47">
        <f t="shared" si="21"/>
        <v>0</v>
      </c>
      <c r="BL11" s="47">
        <f>INDEX(Lab_Mat!$K$6:$N$9,MATCH($H11,Lab_Mat!$J$6:$J$9,0),MATCH($BQ$4,Lab_Mat!$K$5:$N$5,0))*$P11*INDEX(Act_Type_Repex_Splits,MATCH($I11,Act_Type_Repex,0),MATCH(BL$4,Mat_Type,0))*INDEX(Escalators!$I$44:$U$49,MATCH(BL$4,Escalators!$C$44:$C$49,0),MATCH(BL$5,Escalators!$I$43:$U$43,0))</f>
        <v>0</v>
      </c>
      <c r="BM11" s="47">
        <f>INDEX(Lab_Mat!$K$6:$N$9,MATCH($H11,Lab_Mat!$J$6:$J$9,0),MATCH($BQ$4,Lab_Mat!$K$5:$N$5,0))*$P11*INDEX(Act_Type_Repex_Splits,MATCH($I11,Act_Type_Repex,0),MATCH(BM$4,Mat_Type,0))*INDEX(Escalators!$I$44:$U$49,MATCH(BM$4,Escalators!$C$44:$C$49,0),MATCH(BM$5,Escalators!$I$43:$U$43,0))</f>
        <v>0</v>
      </c>
      <c r="BN11" s="47">
        <f>INDEX(Lab_Mat!$K$6:$N$9,MATCH($H11,Lab_Mat!$J$6:$J$9,0),MATCH($BQ$4,Lab_Mat!$K$5:$N$5,0))*$P11*INDEX(Act_Type_Repex_Splits,MATCH($I11,Act_Type_Repex,0),MATCH(BN$4,Mat_Type,0))*INDEX(Escalators!$I$44:$U$49,MATCH(BN$4,Escalators!$C$44:$C$49,0),MATCH(BN$5,Escalators!$I$43:$U$43,0))</f>
        <v>0</v>
      </c>
      <c r="BO11" s="47">
        <f>INDEX(Lab_Mat!$K$6:$N$9,MATCH($H11,Lab_Mat!$J$6:$J$9,0),MATCH($BQ$4,Lab_Mat!$K$5:$N$5,0))*$P11*INDEX(Act_Type_Repex_Splits,MATCH($I11,Act_Type_Repex,0),MATCH(BO$4,Mat_Type,0))*INDEX(Escalators!$I$44:$U$49,MATCH(BO$4,Escalators!$C$44:$C$49,0),MATCH(BO$5,Escalators!$I$43:$U$43,0))</f>
        <v>0</v>
      </c>
      <c r="BP11" s="47">
        <f>INDEX(Lab_Mat!$K$6:$N$9,MATCH($H11,Lab_Mat!$J$6:$J$9,0),MATCH($BQ$4,Lab_Mat!$K$5:$N$5,0))*$P11*INDEX(Act_Type_Repex_Splits,MATCH($I11,Act_Type_Repex,0),MATCH(BP$4,Mat_Type,0))*INDEX(Escalators!$I$44:$U$49,MATCH(BP$4,Escalators!$C$44:$C$49,0),MATCH(BP$5,Escalators!$I$43:$U$43,0))</f>
        <v>0</v>
      </c>
      <c r="BQ11" s="47">
        <f t="shared" si="22"/>
        <v>0</v>
      </c>
      <c r="BR11" s="47">
        <f>INDEX(Lab_Mat!$K$6:$N$9,MATCH($H11,Lab_Mat!$J$6:$J$9,0),MATCH($BW$4,Lab_Mat!$K$5:$N$5,0))*$Q11*INDEX(Act_Type_Repex_Splits,MATCH($I11,Act_Type_Repex,0),MATCH(BR$4,Mat_Type,0))*INDEX(Escalators!$I$44:$U$49,MATCH(BR$4,Escalators!$C$44:$C$49,0),MATCH(BR$5,Escalators!$I$43:$U$43,0))</f>
        <v>0</v>
      </c>
      <c r="BS11" s="47">
        <f>INDEX(Lab_Mat!$K$6:$N$9,MATCH($H11,Lab_Mat!$J$6:$J$9,0),MATCH($BW$4,Lab_Mat!$K$5:$N$5,0))*$Q11*INDEX(Act_Type_Repex_Splits,MATCH($I11,Act_Type_Repex,0),MATCH(BS$4,Mat_Type,0))*INDEX(Escalators!$I$44:$U$49,MATCH(BS$4,Escalators!$C$44:$C$49,0),MATCH(BS$5,Escalators!$I$43:$U$43,0))</f>
        <v>0</v>
      </c>
      <c r="BT11" s="47">
        <f>INDEX(Lab_Mat!$K$6:$N$9,MATCH($H11,Lab_Mat!$J$6:$J$9,0),MATCH($BW$4,Lab_Mat!$K$5:$N$5,0))*$Q11*INDEX(Act_Type_Repex_Splits,MATCH($I11,Act_Type_Repex,0),MATCH(BT$4,Mat_Type,0))*INDEX(Escalators!$I$44:$U$49,MATCH(BT$4,Escalators!$C$44:$C$49,0),MATCH(BT$5,Escalators!$I$43:$U$43,0))</f>
        <v>0</v>
      </c>
      <c r="BU11" s="47">
        <f>INDEX(Lab_Mat!$K$6:$N$9,MATCH($H11,Lab_Mat!$J$6:$J$9,0),MATCH($BW$4,Lab_Mat!$K$5:$N$5,0))*$Q11*INDEX(Act_Type_Repex_Splits,MATCH($I11,Act_Type_Repex,0),MATCH(BU$4,Mat_Type,0))*INDEX(Escalators!$I$44:$U$49,MATCH(BU$4,Escalators!$C$44:$C$49,0),MATCH(BU$5,Escalators!$I$43:$U$43,0))</f>
        <v>0</v>
      </c>
      <c r="BV11" s="47">
        <f>INDEX(Lab_Mat!$K$6:$N$9,MATCH($H11,Lab_Mat!$J$6:$J$9,0),MATCH($BW$4,Lab_Mat!$K$5:$N$5,0))*$Q11*INDEX(Act_Type_Repex_Splits,MATCH($I11,Act_Type_Repex,0),MATCH(BV$4,Mat_Type,0))*INDEX(Escalators!$I$44:$U$49,MATCH(BV$4,Escalators!$C$44:$C$49,0),MATCH(BV$5,Escalators!$I$43:$U$43,0))</f>
        <v>0</v>
      </c>
      <c r="BW11" s="47">
        <f t="shared" si="23"/>
        <v>0</v>
      </c>
      <c r="BY11" s="47">
        <f>INDEX(Lab_Mat!$K$6:$N$9,MATCH($H11,Lab_Mat!$J$6:$J$9,0),MATCH($BY$4,Lab_Mat!$K$5:$N$5,0))*J11*HLOOKUP(BY$5,Escalators!$I$25:$U$30,6,FALSE)</f>
        <v>0</v>
      </c>
      <c r="BZ11" s="47">
        <f>INDEX(Lab_Mat!$K$6:$N$9,MATCH($H11,Lab_Mat!$J$6:$J$9,0),MATCH($BY$4,Lab_Mat!$K$5:$N$5,0))*K11*HLOOKUP(BZ$5,Escalators!$I$25:$U$30,6,FALSE)</f>
        <v>0</v>
      </c>
      <c r="CA11" s="47">
        <f>INDEX(Lab_Mat!$K$6:$N$9,MATCH($H11,Lab_Mat!$J$6:$J$9,0),MATCH($BY$4,Lab_Mat!$K$5:$N$5,0))*L11*HLOOKUP(CA$5,Escalators!$I$25:$U$30,6,FALSE)</f>
        <v>0</v>
      </c>
      <c r="CB11" s="47">
        <f>INDEX(Lab_Mat!$K$6:$N$9,MATCH($H11,Lab_Mat!$J$6:$J$9,0),MATCH($BY$4,Lab_Mat!$K$5:$N$5,0))*M11*HLOOKUP(CB$5,Escalators!$I$25:$U$30,6,FALSE)</f>
        <v>0</v>
      </c>
      <c r="CC11" s="47">
        <f>INDEX(Lab_Mat!$K$6:$N$9,MATCH($H11,Lab_Mat!$J$6:$J$9,0),MATCH($BY$4,Lab_Mat!$K$5:$N$5,0))*N11*HLOOKUP(CC$5,Escalators!$I$25:$U$30,6,FALSE)</f>
        <v>0</v>
      </c>
      <c r="CD11" s="47">
        <f>INDEX(Lab_Mat!$K$6:$N$9,MATCH($H11,Lab_Mat!$J$6:$J$9,0),MATCH($BY$4,Lab_Mat!$K$5:$N$5,0))*O11*HLOOKUP(CD$5,Escalators!$I$25:$U$30,6,FALSE)</f>
        <v>0</v>
      </c>
      <c r="CE11" s="47">
        <f>INDEX(Lab_Mat!$K$6:$N$9,MATCH($H11,Lab_Mat!$J$6:$J$9,0),MATCH($BY$4,Lab_Mat!$K$5:$N$5,0))*P11*HLOOKUP(CE$5,Escalators!$I$25:$U$30,6,FALSE)</f>
        <v>0</v>
      </c>
      <c r="CF11" s="47">
        <f>INDEX(Lab_Mat!$K$6:$N$9,MATCH($H11,Lab_Mat!$J$6:$J$9,0),MATCH($BY$4,Lab_Mat!$K$5:$N$5,0))*Q11*HLOOKUP(CF$5,Escalators!$I$25:$U$30,6,FALSE)</f>
        <v>0</v>
      </c>
      <c r="CH11" s="47">
        <f>INDEX(Lab_Mat!$K$6:$N$9,MATCH($H11,Lab_Mat!$J$6:$J$9,0),MATCH($CH$4,Lab_Mat!$K$5:$N$5,0))*J11</f>
        <v>0</v>
      </c>
      <c r="CI11" s="47">
        <f>INDEX(Lab_Mat!$K$6:$N$9,MATCH($H11,Lab_Mat!$J$6:$J$9,0),MATCH($CH$4,Lab_Mat!$K$5:$N$5,0))*K11</f>
        <v>0</v>
      </c>
      <c r="CJ11" s="47">
        <f>INDEX(Lab_Mat!$K$6:$N$9,MATCH($H11,Lab_Mat!$J$6:$J$9,0),MATCH($CH$4,Lab_Mat!$K$5:$N$5,0))*L11</f>
        <v>0</v>
      </c>
      <c r="CK11" s="47">
        <f>INDEX(Lab_Mat!$K$6:$N$9,MATCH($H11,Lab_Mat!$J$6:$J$9,0),MATCH($CH$4,Lab_Mat!$K$5:$N$5,0))*M11</f>
        <v>0</v>
      </c>
      <c r="CL11" s="47">
        <f>INDEX(Lab_Mat!$K$6:$N$9,MATCH($H11,Lab_Mat!$J$6:$J$9,0),MATCH($CH$4,Lab_Mat!$K$5:$N$5,0))*N11</f>
        <v>0</v>
      </c>
      <c r="CM11" s="47">
        <f>INDEX(Lab_Mat!$K$6:$N$9,MATCH($H11,Lab_Mat!$J$6:$J$9,0),MATCH($CH$4,Lab_Mat!$K$5:$N$5,0))*O11</f>
        <v>0</v>
      </c>
      <c r="CN11" s="47">
        <f>INDEX(Lab_Mat!$K$6:$N$9,MATCH($H11,Lab_Mat!$J$6:$J$9,0),MATCH($CH$4,Lab_Mat!$K$5:$N$5,0))*P11</f>
        <v>0</v>
      </c>
      <c r="CO11" s="47">
        <f>INDEX(Lab_Mat!$K$6:$N$9,MATCH($H11,Lab_Mat!$J$6:$J$9,0),MATCH($CH$4,Lab_Mat!$K$5:$N$5,0))*Q11</f>
        <v>0</v>
      </c>
      <c r="CQ11" s="47">
        <f t="shared" si="24"/>
        <v>0</v>
      </c>
      <c r="CR11" s="47">
        <f t="shared" si="25"/>
        <v>0</v>
      </c>
      <c r="CS11" s="47">
        <f t="shared" si="26"/>
        <v>0</v>
      </c>
      <c r="CT11" s="47">
        <f t="shared" si="27"/>
        <v>0</v>
      </c>
      <c r="CU11" s="47">
        <f t="shared" si="28"/>
        <v>0</v>
      </c>
      <c r="CV11" s="47">
        <f t="shared" si="29"/>
        <v>0</v>
      </c>
      <c r="CW11" s="47">
        <f t="shared" si="30"/>
        <v>0</v>
      </c>
      <c r="CX11" s="47">
        <f t="shared" si="31"/>
        <v>0</v>
      </c>
      <c r="CY11" s="39"/>
      <c r="CZ11" s="39"/>
      <c r="DA11" s="39"/>
      <c r="DB11" s="39"/>
      <c r="DC11" s="39"/>
    </row>
    <row r="12" spans="2:109" x14ac:dyDescent="0.3">
      <c r="B12" s="7"/>
      <c r="C12" s="7" t="s">
        <v>415</v>
      </c>
      <c r="D12" s="7" t="s">
        <v>692</v>
      </c>
      <c r="E12" s="7" t="s">
        <v>48</v>
      </c>
      <c r="F12" s="7" t="s">
        <v>55</v>
      </c>
      <c r="G12" s="7" t="s">
        <v>150</v>
      </c>
      <c r="H12" s="7" t="s">
        <v>750</v>
      </c>
      <c r="I12" s="7" t="s">
        <v>204</v>
      </c>
      <c r="J12" s="45"/>
      <c r="K12" s="45"/>
      <c r="L12" s="45"/>
      <c r="M12" s="45">
        <v>0</v>
      </c>
      <c r="N12" s="45">
        <v>0</v>
      </c>
      <c r="O12" s="45">
        <v>0</v>
      </c>
      <c r="P12" s="45"/>
      <c r="Q12" s="45"/>
      <c r="S12" s="47">
        <f>INDEX(Lab_Mat!$K$6:$N$9,MATCH($H12,Lab_Mat!$J$6:$J$9,0),MATCH($S$4,Lab_Mat!$K$5:$N$5,0))*J12*HLOOKUP(S$5,Escalators!$I$25:$U$30,3,FALSE)</f>
        <v>0</v>
      </c>
      <c r="T12" s="47">
        <f>INDEX(Lab_Mat!$K$6:$N$9,MATCH($H12,Lab_Mat!$J$6:$J$9,0),MATCH($S$4,Lab_Mat!$K$5:$N$5,0))*K12*HLOOKUP(T$5,Escalators!$I$25:$U$30,3,FALSE)</f>
        <v>0</v>
      </c>
      <c r="U12" s="47">
        <f>INDEX(Lab_Mat!$K$6:$N$9,MATCH($H12,Lab_Mat!$J$6:$J$9,0),MATCH($S$4,Lab_Mat!$K$5:$N$5,0))*L12*HLOOKUP(U$5,Escalators!$I$25:$U$30,3,FALSE)</f>
        <v>0</v>
      </c>
      <c r="V12" s="47">
        <f>INDEX(Lab_Mat!$K$6:$N$9,MATCH($H12,Lab_Mat!$J$6:$J$9,0),MATCH($S$4,Lab_Mat!$K$5:$N$5,0))*M12*HLOOKUP(V$5,Escalators!$I$25:$U$30,3,FALSE)</f>
        <v>0</v>
      </c>
      <c r="W12" s="47">
        <f>INDEX(Lab_Mat!$K$6:$N$9,MATCH($H12,Lab_Mat!$J$6:$J$9,0),MATCH($S$4,Lab_Mat!$K$5:$N$5,0))*N12*HLOOKUP(W$5,Escalators!$I$25:$U$30,3,FALSE)</f>
        <v>0</v>
      </c>
      <c r="X12" s="47">
        <f>INDEX(Lab_Mat!$K$6:$N$9,MATCH($H12,Lab_Mat!$J$6:$J$9,0),MATCH($S$4,Lab_Mat!$K$5:$N$5,0))*O12*HLOOKUP(X$5,Escalators!$I$25:$U$30,3,FALSE)</f>
        <v>0</v>
      </c>
      <c r="Y12" s="47">
        <f>INDEX(Lab_Mat!$K$6:$N$9,MATCH($H12,Lab_Mat!$J$6:$J$9,0),MATCH($S$4,Lab_Mat!$K$5:$N$5,0))*P12*HLOOKUP(Y$5,Escalators!$I$25:$U$30,3,FALSE)</f>
        <v>0</v>
      </c>
      <c r="Z12" s="47">
        <f>INDEX(Lab_Mat!$K$6:$N$9,MATCH($H12,Lab_Mat!$J$6:$J$9,0),MATCH($S$4,Lab_Mat!$K$5:$N$5,0))*Q12*HLOOKUP(Z$5,Escalators!$I$25:$U$30,3,FALSE)</f>
        <v>0</v>
      </c>
      <c r="AB12" s="47">
        <f>INDEX(Lab_Mat!$K$6:$N$9,MATCH($H12,Lab_Mat!$J$6:$J$9,0),MATCH($AG$4,Lab_Mat!$K$5:$N$5,0))*$J12*INDEX(Act_Type_Repex_Splits,MATCH($I12,Act_Type_Repex,0),MATCH(AB$4,Mat_Type,0))*INDEX(Escalators!$I$44:$Q$49,MATCH(AB$4,Escalators!$C$44:$C$49,0),MATCH(AB$5,Escalators!$I$43:$Q$43,0))</f>
        <v>0</v>
      </c>
      <c r="AC12" s="47">
        <f>INDEX(Lab_Mat!$K$6:$N$9,MATCH($H12,Lab_Mat!$J$6:$J$9,0),MATCH($AG$4,Lab_Mat!$K$5:$N$5,0))*$J12*INDEX(Act_Type_Repex_Splits,MATCH($I12,Act_Type_Repex,0),MATCH(AC$4,Mat_Type,0))*INDEX(Escalators!$I$44:$Q$49,MATCH(AC$4,Escalators!$C$44:$C$49,0),MATCH(AC$5,Escalators!$I$43:$Q$43,0))</f>
        <v>0</v>
      </c>
      <c r="AD12" s="47">
        <f>INDEX(Lab_Mat!$K$6:$N$9,MATCH($H12,Lab_Mat!$J$6:$J$9,0),MATCH($AG$4,Lab_Mat!$K$5:$N$5,0))*$J12*INDEX(Act_Type_Repex_Splits,MATCH($I12,Act_Type_Repex,0),MATCH(AD$4,Mat_Type,0))*INDEX(Escalators!$I$44:$Q$49,MATCH(AD$4,Escalators!$C$44:$C$49,0),MATCH(AD$5,Escalators!$I$43:$Q$43,0))</f>
        <v>0</v>
      </c>
      <c r="AE12" s="47">
        <f>INDEX(Lab_Mat!$K$6:$N$9,MATCH($H12,Lab_Mat!$J$6:$J$9,0),MATCH($AG$4,Lab_Mat!$K$5:$N$5,0))*$J12*INDEX(Act_Type_Repex_Splits,MATCH($I12,Act_Type_Repex,0),MATCH(AE$4,Mat_Type,0))*INDEX(Escalators!$I$44:$Q$49,MATCH(AE$4,Escalators!$C$44:$C$49,0),MATCH(AE$5,Escalators!$I$43:$Q$43,0))</f>
        <v>0</v>
      </c>
      <c r="AF12" s="47">
        <f>INDEX(Lab_Mat!$K$6:$N$9,MATCH($H12,Lab_Mat!$J$6:$J$9,0),MATCH($AG$4,Lab_Mat!$K$5:$N$5,0))*$J12*INDEX(Act_Type_Repex_Splits,MATCH($I12,Act_Type_Repex,0),MATCH(AF$4,Mat_Type,0))*INDEX(Escalators!$I$44:$Q$49,MATCH(AF$4,Escalators!$C$44:$C$49,0),MATCH(AF$5,Escalators!$I$43:$Q$43,0))</f>
        <v>0</v>
      </c>
      <c r="AG12" s="47">
        <f t="shared" si="16"/>
        <v>0</v>
      </c>
      <c r="AH12" s="47">
        <f>INDEX(Lab_Mat!$K$6:$N$9,MATCH($H12,Lab_Mat!$J$6:$J$9,0),MATCH($AY$4,Lab_Mat!$K$5:$N$5,0))*$K12*INDEX(Act_Type_Repex_Splits,MATCH($I12,Act_Type_Repex,0),MATCH(AH$4,Mat_Type,0))*INDEX(Escalators!$I$44:$U$49,MATCH(AH$4,Escalators!$C$44:$C$49,0),MATCH(AH$5,Escalators!$I$43:$U$43,0))</f>
        <v>0</v>
      </c>
      <c r="AI12" s="47">
        <f>INDEX(Lab_Mat!$K$6:$N$9,MATCH($H12,Lab_Mat!$J$6:$J$9,0),MATCH($AY$4,Lab_Mat!$K$5:$N$5,0))*$K12*INDEX(Act_Type_Repex_Splits,MATCH($I12,Act_Type_Repex,0),MATCH(AI$4,Mat_Type,0))*INDEX(Escalators!$I$44:$U$49,MATCH(AI$4,Escalators!$C$44:$C$49,0),MATCH(AI$5,Escalators!$I$43:$U$43,0))</f>
        <v>0</v>
      </c>
      <c r="AJ12" s="47">
        <f>INDEX(Lab_Mat!$K$6:$N$9,MATCH($H12,Lab_Mat!$J$6:$J$9,0),MATCH($AY$4,Lab_Mat!$K$5:$N$5,0))*$K12*INDEX(Act_Type_Repex_Splits,MATCH($I12,Act_Type_Repex,0),MATCH(AJ$4,Mat_Type,0))*INDEX(Escalators!$I$44:$U$49,MATCH(AJ$4,Escalators!$C$44:$C$49,0),MATCH(AJ$5,Escalators!$I$43:$U$43,0))</f>
        <v>0</v>
      </c>
      <c r="AK12" s="47">
        <f>INDEX(Lab_Mat!$K$6:$N$9,MATCH($H12,Lab_Mat!$J$6:$J$9,0),MATCH($AY$4,Lab_Mat!$K$5:$N$5,0))*$K12*INDEX(Act_Type_Repex_Splits,MATCH($I12,Act_Type_Repex,0),MATCH(AK$4,Mat_Type,0))*INDEX(Escalators!$I$44:$U$49,MATCH(AK$4,Escalators!$C$44:$C$49,0),MATCH(AK$5,Escalators!$I$43:$U$43,0))</f>
        <v>0</v>
      </c>
      <c r="AL12" s="47">
        <f>INDEX(Lab_Mat!$K$6:$N$9,MATCH($H12,Lab_Mat!$J$6:$J$9,0),MATCH($AY$4,Lab_Mat!$K$5:$N$5,0))*$K12*INDEX(Act_Type_Repex_Splits,MATCH($I12,Act_Type_Repex,0),MATCH(AL$4,Mat_Type,0))*INDEX(Escalators!$I$44:$U$49,MATCH(AL$4,Escalators!$C$44:$C$49,0),MATCH(AL$5,Escalators!$I$43:$U$43,0))</f>
        <v>0</v>
      </c>
      <c r="AM12" s="47">
        <f t="shared" si="17"/>
        <v>0</v>
      </c>
      <c r="AN12" s="47">
        <f>INDEX(Lab_Mat!$K$6:$N$9,MATCH($H12,Lab_Mat!$J$6:$J$9,0),MATCH($AY$4,Lab_Mat!$K$5:$N$5,0))*$L12*INDEX(Act_Type_Repex_Splits,MATCH($I12,Act_Type_Repex,0),MATCH(AN$4,Mat_Type,0))*INDEX(Escalators!$I$44:$U$49,MATCH(AN$4,Escalators!$C$44:$C$49,0),MATCH(AN$5,Escalators!$I$43:$U$43,0))</f>
        <v>0</v>
      </c>
      <c r="AO12" s="47">
        <f>INDEX(Lab_Mat!$K$6:$N$9,MATCH($H12,Lab_Mat!$J$6:$J$9,0),MATCH($AY$4,Lab_Mat!$K$5:$N$5,0))*$L12*INDEX(Act_Type_Repex_Splits,MATCH($I12,Act_Type_Repex,0),MATCH(AO$4,Mat_Type,0))*INDEX(Escalators!$I$44:$U$49,MATCH(AO$4,Escalators!$C$44:$C$49,0),MATCH(AO$5,Escalators!$I$43:$U$43,0))</f>
        <v>0</v>
      </c>
      <c r="AP12" s="47">
        <f>INDEX(Lab_Mat!$K$6:$N$9,MATCH($H12,Lab_Mat!$J$6:$J$9,0),MATCH($AY$4,Lab_Mat!$K$5:$N$5,0))*$L12*INDEX(Act_Type_Repex_Splits,MATCH($I12,Act_Type_Repex,0),MATCH(AP$4,Mat_Type,0))*INDEX(Escalators!$I$44:$U$49,MATCH(AP$4,Escalators!$C$44:$C$49,0),MATCH(AP$5,Escalators!$I$43:$U$43,0))</f>
        <v>0</v>
      </c>
      <c r="AQ12" s="47">
        <f>INDEX(Lab_Mat!$K$6:$N$9,MATCH($H12,Lab_Mat!$J$6:$J$9,0),MATCH($AY$4,Lab_Mat!$K$5:$N$5,0))*$L12*INDEX(Act_Type_Repex_Splits,MATCH($I12,Act_Type_Repex,0),MATCH(AQ$4,Mat_Type,0))*INDEX(Escalators!$I$44:$U$49,MATCH(AQ$4,Escalators!$C$44:$C$49,0),MATCH(AQ$5,Escalators!$I$43:$U$43,0))</f>
        <v>0</v>
      </c>
      <c r="AR12" s="47">
        <f>INDEX(Lab_Mat!$K$6:$N$9,MATCH($H12,Lab_Mat!$J$6:$J$9,0),MATCH($AY$4,Lab_Mat!$K$5:$N$5,0))*$L12*INDEX(Act_Type_Repex_Splits,MATCH($I12,Act_Type_Repex,0),MATCH(AR$4,Mat_Type,0))*INDEX(Escalators!$I$44:$U$49,MATCH(AR$4,Escalators!$C$44:$C$49,0),MATCH(AR$5,Escalators!$I$43:$U$43,0))</f>
        <v>0</v>
      </c>
      <c r="AS12" s="47">
        <f t="shared" si="18"/>
        <v>0</v>
      </c>
      <c r="AT12" s="47">
        <f>INDEX(Lab_Mat!$K$6:$N$9,MATCH($H12,Lab_Mat!$J$6:$J$9,0),MATCH($AY$4,Lab_Mat!$K$5:$N$5,0))*$M12*INDEX(Act_Type_Repex_Splits,MATCH($I12,Act_Type_Repex,0),MATCH(AT$4,Mat_Type,0))*INDEX(Escalators!$I$44:$U$49,MATCH(AT$4,Escalators!$C$44:$C$49,0),MATCH(AT$5,Escalators!$I$43:$U$43,0))</f>
        <v>0</v>
      </c>
      <c r="AU12" s="47">
        <f>INDEX(Lab_Mat!$K$6:$N$9,MATCH($H12,Lab_Mat!$J$6:$J$9,0),MATCH($AY$4,Lab_Mat!$K$5:$N$5,0))*$M12*INDEX(Act_Type_Repex_Splits,MATCH($I12,Act_Type_Repex,0),MATCH(AU$4,Mat_Type,0))*INDEX(Escalators!$I$44:$U$49,MATCH(AU$4,Escalators!$C$44:$C$49,0),MATCH(AU$5,Escalators!$I$43:$U$43,0))</f>
        <v>0</v>
      </c>
      <c r="AV12" s="47">
        <f>INDEX(Lab_Mat!$K$6:$N$9,MATCH($H12,Lab_Mat!$J$6:$J$9,0),MATCH($AY$4,Lab_Mat!$K$5:$N$5,0))*$M12*INDEX(Act_Type_Repex_Splits,MATCH($I12,Act_Type_Repex,0),MATCH(AV$4,Mat_Type,0))*INDEX(Escalators!$I$44:$U$49,MATCH(AV$4,Escalators!$C$44:$C$49,0),MATCH(AV$5,Escalators!$I$43:$U$43,0))</f>
        <v>0</v>
      </c>
      <c r="AW12" s="47">
        <f>INDEX(Lab_Mat!$K$6:$N$9,MATCH($H12,Lab_Mat!$J$6:$J$9,0),MATCH($AY$4,Lab_Mat!$K$5:$N$5,0))*$M12*INDEX(Act_Type_Repex_Splits,MATCH($I12,Act_Type_Repex,0),MATCH(AW$4,Mat_Type,0))*INDEX(Escalators!$I$44:$U$49,MATCH(AW$4,Escalators!$C$44:$C$49,0),MATCH(AW$5,Escalators!$I$43:$U$43,0))</f>
        <v>0</v>
      </c>
      <c r="AX12" s="47">
        <f>INDEX(Lab_Mat!$K$6:$N$9,MATCH($H12,Lab_Mat!$J$6:$J$9,0),MATCH($AY$4,Lab_Mat!$K$5:$N$5,0))*$M12*INDEX(Act_Type_Repex_Splits,MATCH($I12,Act_Type_Repex,0),MATCH(AX$4,Mat_Type,0))*INDEX(Escalators!$I$44:$U$49,MATCH(AX$4,Escalators!$C$44:$C$49,0),MATCH(AX$5,Escalators!$I$43:$U$43,0))</f>
        <v>0</v>
      </c>
      <c r="AY12" s="47">
        <f t="shared" si="19"/>
        <v>0</v>
      </c>
      <c r="AZ12" s="47">
        <f>INDEX(Lab_Mat!$K$6:$N$9,MATCH($H12,Lab_Mat!$J$6:$J$9,0),MATCH($BE$4,Lab_Mat!$K$5:$N$5,0))*$N12*INDEX(Act_Type_Repex_Splits,MATCH($I12,Act_Type_Repex,0),MATCH(AZ$4,Mat_Type,0))*INDEX(Escalators!$I$44:$U$49,MATCH(AZ$4,Escalators!$C$44:$C$49,0),MATCH(AZ$5,Escalators!$I$43:$U$43,0))</f>
        <v>0</v>
      </c>
      <c r="BA12" s="47">
        <f>INDEX(Lab_Mat!$K$6:$N$9,MATCH($H12,Lab_Mat!$J$6:$J$9,0),MATCH($BE$4,Lab_Mat!$K$5:$N$5,0))*$N12*INDEX(Act_Type_Repex_Splits,MATCH($I12,Act_Type_Repex,0),MATCH(BA$4,Mat_Type,0))*INDEX(Escalators!$I$44:$U$49,MATCH(BA$4,Escalators!$C$44:$C$49,0),MATCH(BA$5,Escalators!$I$43:$U$43,0))</f>
        <v>0</v>
      </c>
      <c r="BB12" s="47">
        <f>INDEX(Lab_Mat!$K$6:$N$9,MATCH($H12,Lab_Mat!$J$6:$J$9,0),MATCH($BE$4,Lab_Mat!$K$5:$N$5,0))*$N12*INDEX(Act_Type_Repex_Splits,MATCH($I12,Act_Type_Repex,0),MATCH(BB$4,Mat_Type,0))*INDEX(Escalators!$I$44:$U$49,MATCH(BB$4,Escalators!$C$44:$C$49,0),MATCH(BB$5,Escalators!$I$43:$U$43,0))</f>
        <v>0</v>
      </c>
      <c r="BC12" s="47">
        <f>INDEX(Lab_Mat!$K$6:$N$9,MATCH($H12,Lab_Mat!$J$6:$J$9,0),MATCH($BE$4,Lab_Mat!$K$5:$N$5,0))*$N12*INDEX(Act_Type_Repex_Splits,MATCH($I12,Act_Type_Repex,0),MATCH(BC$4,Mat_Type,0))*INDEX(Escalators!$I$44:$U$49,MATCH(BC$4,Escalators!$C$44:$C$49,0),MATCH(BC$5,Escalators!$I$43:$U$43,0))</f>
        <v>0</v>
      </c>
      <c r="BD12" s="47">
        <f>INDEX(Lab_Mat!$K$6:$N$9,MATCH($H12,Lab_Mat!$J$6:$J$9,0),MATCH($BE$4,Lab_Mat!$K$5:$N$5,0))*$N12*INDEX(Act_Type_Repex_Splits,MATCH($I12,Act_Type_Repex,0),MATCH(BD$4,Mat_Type,0))*INDEX(Escalators!$I$44:$U$49,MATCH(BD$4,Escalators!$C$44:$C$49,0),MATCH(BD$5,Escalators!$I$43:$U$43,0))</f>
        <v>0</v>
      </c>
      <c r="BE12" s="47">
        <f t="shared" si="20"/>
        <v>0</v>
      </c>
      <c r="BF12" s="47">
        <f>INDEX(Lab_Mat!$K$6:$N$9,MATCH($H12,Lab_Mat!$J$6:$J$9,0),MATCH($BK$4,Lab_Mat!$K$5:$N$5,0))*$O12*INDEX(Act_Type_Repex_Splits,MATCH($I12,Act_Type_Repex,0),MATCH(BF$4,Mat_Type,0))*INDEX(Escalators!$I$44:$U$49,MATCH(BF$4,Escalators!$C$44:$C$49,0),MATCH(BF$5,Escalators!$I$43:$U$43,0))</f>
        <v>0</v>
      </c>
      <c r="BG12" s="47">
        <f>INDEX(Lab_Mat!$K$6:$N$9,MATCH($H12,Lab_Mat!$J$6:$J$9,0),MATCH($BK$4,Lab_Mat!$K$5:$N$5,0))*$O12*INDEX(Act_Type_Repex_Splits,MATCH($I12,Act_Type_Repex,0),MATCH(BG$4,Mat_Type,0))*INDEX(Escalators!$I$44:$U$49,MATCH(BG$4,Escalators!$C$44:$C$49,0),MATCH(BG$5,Escalators!$I$43:$U$43,0))</f>
        <v>0</v>
      </c>
      <c r="BH12" s="47">
        <f>INDEX(Lab_Mat!$K$6:$N$9,MATCH($H12,Lab_Mat!$J$6:$J$9,0),MATCH($BK$4,Lab_Mat!$K$5:$N$5,0))*$O12*INDEX(Act_Type_Repex_Splits,MATCH($I12,Act_Type_Repex,0),MATCH(BH$4,Mat_Type,0))*INDEX(Escalators!$I$44:$U$49,MATCH(BH$4,Escalators!$C$44:$C$49,0),MATCH(BH$5,Escalators!$I$43:$U$43,0))</f>
        <v>0</v>
      </c>
      <c r="BI12" s="47">
        <f>INDEX(Lab_Mat!$K$6:$N$9,MATCH($H12,Lab_Mat!$J$6:$J$9,0),MATCH($BK$4,Lab_Mat!$K$5:$N$5,0))*$O12*INDEX(Act_Type_Repex_Splits,MATCH($I12,Act_Type_Repex,0),MATCH(BI$4,Mat_Type,0))*INDEX(Escalators!$I$44:$U$49,MATCH(BI$4,Escalators!$C$44:$C$49,0),MATCH(BI$5,Escalators!$I$43:$U$43,0))</f>
        <v>0</v>
      </c>
      <c r="BJ12" s="47">
        <f>INDEX(Lab_Mat!$K$6:$N$9,MATCH($H12,Lab_Mat!$J$6:$J$9,0),MATCH($BK$4,Lab_Mat!$K$5:$N$5,0))*$O12*INDEX(Act_Type_Repex_Splits,MATCH($I12,Act_Type_Repex,0),MATCH(BJ$4,Mat_Type,0))*INDEX(Escalators!$I$44:$U$49,MATCH(BJ$4,Escalators!$C$44:$C$49,0),MATCH(BJ$5,Escalators!$I$43:$U$43,0))</f>
        <v>0</v>
      </c>
      <c r="BK12" s="47">
        <f t="shared" si="21"/>
        <v>0</v>
      </c>
      <c r="BL12" s="47">
        <f>INDEX(Lab_Mat!$K$6:$N$9,MATCH($H12,Lab_Mat!$J$6:$J$9,0),MATCH($BQ$4,Lab_Mat!$K$5:$N$5,0))*$P12*INDEX(Act_Type_Repex_Splits,MATCH($I12,Act_Type_Repex,0),MATCH(BL$4,Mat_Type,0))*INDEX(Escalators!$I$44:$U$49,MATCH(BL$4,Escalators!$C$44:$C$49,0),MATCH(BL$5,Escalators!$I$43:$U$43,0))</f>
        <v>0</v>
      </c>
      <c r="BM12" s="47">
        <f>INDEX(Lab_Mat!$K$6:$N$9,MATCH($H12,Lab_Mat!$J$6:$J$9,0),MATCH($BQ$4,Lab_Mat!$K$5:$N$5,0))*$P12*INDEX(Act_Type_Repex_Splits,MATCH($I12,Act_Type_Repex,0),MATCH(BM$4,Mat_Type,0))*INDEX(Escalators!$I$44:$U$49,MATCH(BM$4,Escalators!$C$44:$C$49,0),MATCH(BM$5,Escalators!$I$43:$U$43,0))</f>
        <v>0</v>
      </c>
      <c r="BN12" s="47">
        <f>INDEX(Lab_Mat!$K$6:$N$9,MATCH($H12,Lab_Mat!$J$6:$J$9,0),MATCH($BQ$4,Lab_Mat!$K$5:$N$5,0))*$P12*INDEX(Act_Type_Repex_Splits,MATCH($I12,Act_Type_Repex,0),MATCH(BN$4,Mat_Type,0))*INDEX(Escalators!$I$44:$U$49,MATCH(BN$4,Escalators!$C$44:$C$49,0),MATCH(BN$5,Escalators!$I$43:$U$43,0))</f>
        <v>0</v>
      </c>
      <c r="BO12" s="47">
        <f>INDEX(Lab_Mat!$K$6:$N$9,MATCH($H12,Lab_Mat!$J$6:$J$9,0),MATCH($BQ$4,Lab_Mat!$K$5:$N$5,0))*$P12*INDEX(Act_Type_Repex_Splits,MATCH($I12,Act_Type_Repex,0),MATCH(BO$4,Mat_Type,0))*INDEX(Escalators!$I$44:$U$49,MATCH(BO$4,Escalators!$C$44:$C$49,0),MATCH(BO$5,Escalators!$I$43:$U$43,0))</f>
        <v>0</v>
      </c>
      <c r="BP12" s="47">
        <f>INDEX(Lab_Mat!$K$6:$N$9,MATCH($H12,Lab_Mat!$J$6:$J$9,0),MATCH($BQ$4,Lab_Mat!$K$5:$N$5,0))*$P12*INDEX(Act_Type_Repex_Splits,MATCH($I12,Act_Type_Repex,0),MATCH(BP$4,Mat_Type,0))*INDEX(Escalators!$I$44:$U$49,MATCH(BP$4,Escalators!$C$44:$C$49,0),MATCH(BP$5,Escalators!$I$43:$U$43,0))</f>
        <v>0</v>
      </c>
      <c r="BQ12" s="47">
        <f t="shared" si="22"/>
        <v>0</v>
      </c>
      <c r="BR12" s="47">
        <f>INDEX(Lab_Mat!$K$6:$N$9,MATCH($H12,Lab_Mat!$J$6:$J$9,0),MATCH($BW$4,Lab_Mat!$K$5:$N$5,0))*$Q12*INDEX(Act_Type_Repex_Splits,MATCH($I12,Act_Type_Repex,0),MATCH(BR$4,Mat_Type,0))*INDEX(Escalators!$I$44:$U$49,MATCH(BR$4,Escalators!$C$44:$C$49,0),MATCH(BR$5,Escalators!$I$43:$U$43,0))</f>
        <v>0</v>
      </c>
      <c r="BS12" s="47">
        <f>INDEX(Lab_Mat!$K$6:$N$9,MATCH($H12,Lab_Mat!$J$6:$J$9,0),MATCH($BW$4,Lab_Mat!$K$5:$N$5,0))*$Q12*INDEX(Act_Type_Repex_Splits,MATCH($I12,Act_Type_Repex,0),MATCH(BS$4,Mat_Type,0))*INDEX(Escalators!$I$44:$U$49,MATCH(BS$4,Escalators!$C$44:$C$49,0),MATCH(BS$5,Escalators!$I$43:$U$43,0))</f>
        <v>0</v>
      </c>
      <c r="BT12" s="47">
        <f>INDEX(Lab_Mat!$K$6:$N$9,MATCH($H12,Lab_Mat!$J$6:$J$9,0),MATCH($BW$4,Lab_Mat!$K$5:$N$5,0))*$Q12*INDEX(Act_Type_Repex_Splits,MATCH($I12,Act_Type_Repex,0),MATCH(BT$4,Mat_Type,0))*INDEX(Escalators!$I$44:$U$49,MATCH(BT$4,Escalators!$C$44:$C$49,0),MATCH(BT$5,Escalators!$I$43:$U$43,0))</f>
        <v>0</v>
      </c>
      <c r="BU12" s="47">
        <f>INDEX(Lab_Mat!$K$6:$N$9,MATCH($H12,Lab_Mat!$J$6:$J$9,0),MATCH($BW$4,Lab_Mat!$K$5:$N$5,0))*$Q12*INDEX(Act_Type_Repex_Splits,MATCH($I12,Act_Type_Repex,0),MATCH(BU$4,Mat_Type,0))*INDEX(Escalators!$I$44:$U$49,MATCH(BU$4,Escalators!$C$44:$C$49,0),MATCH(BU$5,Escalators!$I$43:$U$43,0))</f>
        <v>0</v>
      </c>
      <c r="BV12" s="47">
        <f>INDEX(Lab_Mat!$K$6:$N$9,MATCH($H12,Lab_Mat!$J$6:$J$9,0),MATCH($BW$4,Lab_Mat!$K$5:$N$5,0))*$Q12*INDEX(Act_Type_Repex_Splits,MATCH($I12,Act_Type_Repex,0),MATCH(BV$4,Mat_Type,0))*INDEX(Escalators!$I$44:$U$49,MATCH(BV$4,Escalators!$C$44:$C$49,0),MATCH(BV$5,Escalators!$I$43:$U$43,0))</f>
        <v>0</v>
      </c>
      <c r="BW12" s="47">
        <f t="shared" si="23"/>
        <v>0</v>
      </c>
      <c r="BY12" s="47">
        <f>INDEX(Lab_Mat!$K$6:$N$9,MATCH($H12,Lab_Mat!$J$6:$J$9,0),MATCH($BY$4,Lab_Mat!$K$5:$N$5,0))*J12*HLOOKUP(BY$5,Escalators!$I$25:$U$30,6,FALSE)</f>
        <v>0</v>
      </c>
      <c r="BZ12" s="47">
        <f>INDEX(Lab_Mat!$K$6:$N$9,MATCH($H12,Lab_Mat!$J$6:$J$9,0),MATCH($BY$4,Lab_Mat!$K$5:$N$5,0))*K12*HLOOKUP(BZ$5,Escalators!$I$25:$U$30,6,FALSE)</f>
        <v>0</v>
      </c>
      <c r="CA12" s="47">
        <f>INDEX(Lab_Mat!$K$6:$N$9,MATCH($H12,Lab_Mat!$J$6:$J$9,0),MATCH($BY$4,Lab_Mat!$K$5:$N$5,0))*L12*HLOOKUP(CA$5,Escalators!$I$25:$U$30,6,FALSE)</f>
        <v>0</v>
      </c>
      <c r="CB12" s="47">
        <f>INDEX(Lab_Mat!$K$6:$N$9,MATCH($H12,Lab_Mat!$J$6:$J$9,0),MATCH($BY$4,Lab_Mat!$K$5:$N$5,0))*M12*HLOOKUP(CB$5,Escalators!$I$25:$U$30,6,FALSE)</f>
        <v>0</v>
      </c>
      <c r="CC12" s="47">
        <f>INDEX(Lab_Mat!$K$6:$N$9,MATCH($H12,Lab_Mat!$J$6:$J$9,0),MATCH($BY$4,Lab_Mat!$K$5:$N$5,0))*N12*HLOOKUP(CC$5,Escalators!$I$25:$U$30,6,FALSE)</f>
        <v>0</v>
      </c>
      <c r="CD12" s="47">
        <f>INDEX(Lab_Mat!$K$6:$N$9,MATCH($H12,Lab_Mat!$J$6:$J$9,0),MATCH($BY$4,Lab_Mat!$K$5:$N$5,0))*O12*HLOOKUP(CD$5,Escalators!$I$25:$U$30,6,FALSE)</f>
        <v>0</v>
      </c>
      <c r="CE12" s="47">
        <f>INDEX(Lab_Mat!$K$6:$N$9,MATCH($H12,Lab_Mat!$J$6:$J$9,0),MATCH($BY$4,Lab_Mat!$K$5:$N$5,0))*P12*HLOOKUP(CE$5,Escalators!$I$25:$U$30,6,FALSE)</f>
        <v>0</v>
      </c>
      <c r="CF12" s="47">
        <f>INDEX(Lab_Mat!$K$6:$N$9,MATCH($H12,Lab_Mat!$J$6:$J$9,0),MATCH($BY$4,Lab_Mat!$K$5:$N$5,0))*Q12*HLOOKUP(CF$5,Escalators!$I$25:$U$30,6,FALSE)</f>
        <v>0</v>
      </c>
      <c r="CH12" s="47">
        <f>INDEX(Lab_Mat!$K$6:$N$9,MATCH($H12,Lab_Mat!$J$6:$J$9,0),MATCH($CH$4,Lab_Mat!$K$5:$N$5,0))*J12</f>
        <v>0</v>
      </c>
      <c r="CI12" s="47">
        <f>INDEX(Lab_Mat!$K$6:$N$9,MATCH($H12,Lab_Mat!$J$6:$J$9,0),MATCH($CH$4,Lab_Mat!$K$5:$N$5,0))*K12</f>
        <v>0</v>
      </c>
      <c r="CJ12" s="47">
        <f>INDEX(Lab_Mat!$K$6:$N$9,MATCH($H12,Lab_Mat!$J$6:$J$9,0),MATCH($CH$4,Lab_Mat!$K$5:$N$5,0))*L12</f>
        <v>0</v>
      </c>
      <c r="CK12" s="47">
        <f>INDEX(Lab_Mat!$K$6:$N$9,MATCH($H12,Lab_Mat!$J$6:$J$9,0),MATCH($CH$4,Lab_Mat!$K$5:$N$5,0))*M12</f>
        <v>0</v>
      </c>
      <c r="CL12" s="47">
        <f>INDEX(Lab_Mat!$K$6:$N$9,MATCH($H12,Lab_Mat!$J$6:$J$9,0),MATCH($CH$4,Lab_Mat!$K$5:$N$5,0))*N12</f>
        <v>0</v>
      </c>
      <c r="CM12" s="47">
        <f>INDEX(Lab_Mat!$K$6:$N$9,MATCH($H12,Lab_Mat!$J$6:$J$9,0),MATCH($CH$4,Lab_Mat!$K$5:$N$5,0))*O12</f>
        <v>0</v>
      </c>
      <c r="CN12" s="47">
        <f>INDEX(Lab_Mat!$K$6:$N$9,MATCH($H12,Lab_Mat!$J$6:$J$9,0),MATCH($CH$4,Lab_Mat!$K$5:$N$5,0))*P12</f>
        <v>0</v>
      </c>
      <c r="CO12" s="47">
        <f>INDEX(Lab_Mat!$K$6:$N$9,MATCH($H12,Lab_Mat!$J$6:$J$9,0),MATCH($CH$4,Lab_Mat!$K$5:$N$5,0))*Q12</f>
        <v>0</v>
      </c>
      <c r="CQ12" s="47">
        <f t="shared" si="24"/>
        <v>0</v>
      </c>
      <c r="CR12" s="47">
        <f t="shared" si="25"/>
        <v>0</v>
      </c>
      <c r="CS12" s="47">
        <f t="shared" si="26"/>
        <v>0</v>
      </c>
      <c r="CT12" s="47">
        <f t="shared" si="27"/>
        <v>0</v>
      </c>
      <c r="CU12" s="47">
        <f t="shared" si="28"/>
        <v>0</v>
      </c>
      <c r="CV12" s="47">
        <f t="shared" si="29"/>
        <v>0</v>
      </c>
      <c r="CW12" s="47">
        <f t="shared" si="30"/>
        <v>0</v>
      </c>
      <c r="CX12" s="47">
        <f t="shared" si="31"/>
        <v>0</v>
      </c>
      <c r="CY12" s="39"/>
      <c r="CZ12" s="39"/>
      <c r="DA12" s="39"/>
      <c r="DB12" s="39"/>
      <c r="DC12" s="39"/>
    </row>
    <row r="13" spans="2:109" x14ac:dyDescent="0.3">
      <c r="B13" s="7"/>
      <c r="C13" s="7" t="s">
        <v>416</v>
      </c>
      <c r="D13" s="7" t="s">
        <v>692</v>
      </c>
      <c r="E13" s="7" t="s">
        <v>50</v>
      </c>
      <c r="F13" s="7" t="s">
        <v>55</v>
      </c>
      <c r="G13" s="7" t="s">
        <v>34</v>
      </c>
      <c r="H13" s="7" t="s">
        <v>562</v>
      </c>
      <c r="I13" s="7" t="s">
        <v>5</v>
      </c>
      <c r="J13" s="45"/>
      <c r="K13" s="45"/>
      <c r="L13" s="45"/>
      <c r="M13" s="45">
        <v>0</v>
      </c>
      <c r="N13" s="45">
        <v>0</v>
      </c>
      <c r="O13" s="45">
        <v>0</v>
      </c>
      <c r="P13" s="45"/>
      <c r="Q13" s="45"/>
      <c r="S13" s="47">
        <f>INDEX(Lab_Mat!$K$6:$N$9,MATCH($H13,Lab_Mat!$J$6:$J$9,0),MATCH($S$4,Lab_Mat!$K$5:$N$5,0))*J13*HLOOKUP(S$5,Escalators!$I$25:$U$30,3,FALSE)</f>
        <v>0</v>
      </c>
      <c r="T13" s="47">
        <f>INDEX(Lab_Mat!$K$6:$N$9,MATCH($H13,Lab_Mat!$J$6:$J$9,0),MATCH($S$4,Lab_Mat!$K$5:$N$5,0))*K13*HLOOKUP(T$5,Escalators!$I$25:$U$30,3,FALSE)</f>
        <v>0</v>
      </c>
      <c r="U13" s="47">
        <f>INDEX(Lab_Mat!$K$6:$N$9,MATCH($H13,Lab_Mat!$J$6:$J$9,0),MATCH($S$4,Lab_Mat!$K$5:$N$5,0))*L13*HLOOKUP(U$5,Escalators!$I$25:$U$30,3,FALSE)</f>
        <v>0</v>
      </c>
      <c r="V13" s="47">
        <f>INDEX(Lab_Mat!$K$6:$N$9,MATCH($H13,Lab_Mat!$J$6:$J$9,0),MATCH($S$4,Lab_Mat!$K$5:$N$5,0))*M13*HLOOKUP(V$5,Escalators!$I$25:$U$30,3,FALSE)</f>
        <v>0</v>
      </c>
      <c r="W13" s="47">
        <f>INDEX(Lab_Mat!$K$6:$N$9,MATCH($H13,Lab_Mat!$J$6:$J$9,0),MATCH($S$4,Lab_Mat!$K$5:$N$5,0))*N13*HLOOKUP(W$5,Escalators!$I$25:$U$30,3,FALSE)</f>
        <v>0</v>
      </c>
      <c r="X13" s="47">
        <f>INDEX(Lab_Mat!$K$6:$N$9,MATCH($H13,Lab_Mat!$J$6:$J$9,0),MATCH($S$4,Lab_Mat!$K$5:$N$5,0))*O13*HLOOKUP(X$5,Escalators!$I$25:$U$30,3,FALSE)</f>
        <v>0</v>
      </c>
      <c r="Y13" s="47">
        <f>INDEX(Lab_Mat!$K$6:$N$9,MATCH($H13,Lab_Mat!$J$6:$J$9,0),MATCH($S$4,Lab_Mat!$K$5:$N$5,0))*P13*HLOOKUP(Y$5,Escalators!$I$25:$U$30,3,FALSE)</f>
        <v>0</v>
      </c>
      <c r="Z13" s="47">
        <f>INDEX(Lab_Mat!$K$6:$N$9,MATCH($H13,Lab_Mat!$J$6:$J$9,0),MATCH($S$4,Lab_Mat!$K$5:$N$5,0))*Q13*HLOOKUP(Z$5,Escalators!$I$25:$U$30,3,FALSE)</f>
        <v>0</v>
      </c>
      <c r="AB13" s="47">
        <f>INDEX(Lab_Mat!$K$6:$N$9,MATCH($H13,Lab_Mat!$J$6:$J$9,0),MATCH($AG$4,Lab_Mat!$K$5:$N$5,0))*$J13*INDEX(Act_Type_Repex_Splits,MATCH($I13,Act_Type_Repex,0),MATCH(AB$4,Mat_Type,0))*INDEX(Escalators!$I$44:$Q$49,MATCH(AB$4,Escalators!$C$44:$C$49,0),MATCH(AB$5,Escalators!$I$43:$Q$43,0))</f>
        <v>0</v>
      </c>
      <c r="AC13" s="47">
        <f>INDEX(Lab_Mat!$K$6:$N$9,MATCH($H13,Lab_Mat!$J$6:$J$9,0),MATCH($AG$4,Lab_Mat!$K$5:$N$5,0))*$J13*INDEX(Act_Type_Repex_Splits,MATCH($I13,Act_Type_Repex,0),MATCH(AC$4,Mat_Type,0))*INDEX(Escalators!$I$44:$Q$49,MATCH(AC$4,Escalators!$C$44:$C$49,0),MATCH(AC$5,Escalators!$I$43:$Q$43,0))</f>
        <v>0</v>
      </c>
      <c r="AD13" s="47">
        <f>INDEX(Lab_Mat!$K$6:$N$9,MATCH($H13,Lab_Mat!$J$6:$J$9,0),MATCH($AG$4,Lab_Mat!$K$5:$N$5,0))*$J13*INDEX(Act_Type_Repex_Splits,MATCH($I13,Act_Type_Repex,0),MATCH(AD$4,Mat_Type,0))*INDEX(Escalators!$I$44:$Q$49,MATCH(AD$4,Escalators!$C$44:$C$49,0),MATCH(AD$5,Escalators!$I$43:$Q$43,0))</f>
        <v>0</v>
      </c>
      <c r="AE13" s="47">
        <f>INDEX(Lab_Mat!$K$6:$N$9,MATCH($H13,Lab_Mat!$J$6:$J$9,0),MATCH($AG$4,Lab_Mat!$K$5:$N$5,0))*$J13*INDEX(Act_Type_Repex_Splits,MATCH($I13,Act_Type_Repex,0),MATCH(AE$4,Mat_Type,0))*INDEX(Escalators!$I$44:$Q$49,MATCH(AE$4,Escalators!$C$44:$C$49,0),MATCH(AE$5,Escalators!$I$43:$Q$43,0))</f>
        <v>0</v>
      </c>
      <c r="AF13" s="47">
        <f>INDEX(Lab_Mat!$K$6:$N$9,MATCH($H13,Lab_Mat!$J$6:$J$9,0),MATCH($AG$4,Lab_Mat!$K$5:$N$5,0))*$J13*INDEX(Act_Type_Repex_Splits,MATCH($I13,Act_Type_Repex,0),MATCH(AF$4,Mat_Type,0))*INDEX(Escalators!$I$44:$Q$49,MATCH(AF$4,Escalators!$C$44:$C$49,0),MATCH(AF$5,Escalators!$I$43:$Q$43,0))</f>
        <v>0</v>
      </c>
      <c r="AG13" s="47">
        <f t="shared" si="16"/>
        <v>0</v>
      </c>
      <c r="AH13" s="47">
        <f>INDEX(Lab_Mat!$K$6:$N$9,MATCH($H13,Lab_Mat!$J$6:$J$9,0),MATCH($AY$4,Lab_Mat!$K$5:$N$5,0))*$K13*INDEX(Act_Type_Repex_Splits,MATCH($I13,Act_Type_Repex,0),MATCH(AH$4,Mat_Type,0))*INDEX(Escalators!$I$44:$U$49,MATCH(AH$4,Escalators!$C$44:$C$49,0),MATCH(AH$5,Escalators!$I$43:$U$43,0))</f>
        <v>0</v>
      </c>
      <c r="AI13" s="47">
        <f>INDEX(Lab_Mat!$K$6:$N$9,MATCH($H13,Lab_Mat!$J$6:$J$9,0),MATCH($AY$4,Lab_Mat!$K$5:$N$5,0))*$K13*INDEX(Act_Type_Repex_Splits,MATCH($I13,Act_Type_Repex,0),MATCH(AI$4,Mat_Type,0))*INDEX(Escalators!$I$44:$U$49,MATCH(AI$4,Escalators!$C$44:$C$49,0),MATCH(AI$5,Escalators!$I$43:$U$43,0))</f>
        <v>0</v>
      </c>
      <c r="AJ13" s="47">
        <f>INDEX(Lab_Mat!$K$6:$N$9,MATCH($H13,Lab_Mat!$J$6:$J$9,0),MATCH($AY$4,Lab_Mat!$K$5:$N$5,0))*$K13*INDEX(Act_Type_Repex_Splits,MATCH($I13,Act_Type_Repex,0),MATCH(AJ$4,Mat_Type,0))*INDEX(Escalators!$I$44:$U$49,MATCH(AJ$4,Escalators!$C$44:$C$49,0),MATCH(AJ$5,Escalators!$I$43:$U$43,0))</f>
        <v>0</v>
      </c>
      <c r="AK13" s="47">
        <f>INDEX(Lab_Mat!$K$6:$N$9,MATCH($H13,Lab_Mat!$J$6:$J$9,0),MATCH($AY$4,Lab_Mat!$K$5:$N$5,0))*$K13*INDEX(Act_Type_Repex_Splits,MATCH($I13,Act_Type_Repex,0),MATCH(AK$4,Mat_Type,0))*INDEX(Escalators!$I$44:$U$49,MATCH(AK$4,Escalators!$C$44:$C$49,0),MATCH(AK$5,Escalators!$I$43:$U$43,0))</f>
        <v>0</v>
      </c>
      <c r="AL13" s="47">
        <f>INDEX(Lab_Mat!$K$6:$N$9,MATCH($H13,Lab_Mat!$J$6:$J$9,0),MATCH($AY$4,Lab_Mat!$K$5:$N$5,0))*$K13*INDEX(Act_Type_Repex_Splits,MATCH($I13,Act_Type_Repex,0),MATCH(AL$4,Mat_Type,0))*INDEX(Escalators!$I$44:$U$49,MATCH(AL$4,Escalators!$C$44:$C$49,0),MATCH(AL$5,Escalators!$I$43:$U$43,0))</f>
        <v>0</v>
      </c>
      <c r="AM13" s="47">
        <f t="shared" si="17"/>
        <v>0</v>
      </c>
      <c r="AN13" s="47">
        <f>INDEX(Lab_Mat!$K$6:$N$9,MATCH($H13,Lab_Mat!$J$6:$J$9,0),MATCH($AY$4,Lab_Mat!$K$5:$N$5,0))*$L13*INDEX(Act_Type_Repex_Splits,MATCH($I13,Act_Type_Repex,0),MATCH(AN$4,Mat_Type,0))*INDEX(Escalators!$I$44:$U$49,MATCH(AN$4,Escalators!$C$44:$C$49,0),MATCH(AN$5,Escalators!$I$43:$U$43,0))</f>
        <v>0</v>
      </c>
      <c r="AO13" s="47">
        <f>INDEX(Lab_Mat!$K$6:$N$9,MATCH($H13,Lab_Mat!$J$6:$J$9,0),MATCH($AY$4,Lab_Mat!$K$5:$N$5,0))*$L13*INDEX(Act_Type_Repex_Splits,MATCH($I13,Act_Type_Repex,0),MATCH(AO$4,Mat_Type,0))*INDEX(Escalators!$I$44:$U$49,MATCH(AO$4,Escalators!$C$44:$C$49,0),MATCH(AO$5,Escalators!$I$43:$U$43,0))</f>
        <v>0</v>
      </c>
      <c r="AP13" s="47">
        <f>INDEX(Lab_Mat!$K$6:$N$9,MATCH($H13,Lab_Mat!$J$6:$J$9,0),MATCH($AY$4,Lab_Mat!$K$5:$N$5,0))*$L13*INDEX(Act_Type_Repex_Splits,MATCH($I13,Act_Type_Repex,0),MATCH(AP$4,Mat_Type,0))*INDEX(Escalators!$I$44:$U$49,MATCH(AP$4,Escalators!$C$44:$C$49,0),MATCH(AP$5,Escalators!$I$43:$U$43,0))</f>
        <v>0</v>
      </c>
      <c r="AQ13" s="47">
        <f>INDEX(Lab_Mat!$K$6:$N$9,MATCH($H13,Lab_Mat!$J$6:$J$9,0),MATCH($AY$4,Lab_Mat!$K$5:$N$5,0))*$L13*INDEX(Act_Type_Repex_Splits,MATCH($I13,Act_Type_Repex,0),MATCH(AQ$4,Mat_Type,0))*INDEX(Escalators!$I$44:$U$49,MATCH(AQ$4,Escalators!$C$44:$C$49,0),MATCH(AQ$5,Escalators!$I$43:$U$43,0))</f>
        <v>0</v>
      </c>
      <c r="AR13" s="47">
        <f>INDEX(Lab_Mat!$K$6:$N$9,MATCH($H13,Lab_Mat!$J$6:$J$9,0),MATCH($AY$4,Lab_Mat!$K$5:$N$5,0))*$L13*INDEX(Act_Type_Repex_Splits,MATCH($I13,Act_Type_Repex,0),MATCH(AR$4,Mat_Type,0))*INDEX(Escalators!$I$44:$U$49,MATCH(AR$4,Escalators!$C$44:$C$49,0),MATCH(AR$5,Escalators!$I$43:$U$43,0))</f>
        <v>0</v>
      </c>
      <c r="AS13" s="47">
        <f t="shared" si="18"/>
        <v>0</v>
      </c>
      <c r="AT13" s="47">
        <f>INDEX(Lab_Mat!$K$6:$N$9,MATCH($H13,Lab_Mat!$J$6:$J$9,0),MATCH($AY$4,Lab_Mat!$K$5:$N$5,0))*$M13*INDEX(Act_Type_Repex_Splits,MATCH($I13,Act_Type_Repex,0),MATCH(AT$4,Mat_Type,0))*INDEX(Escalators!$I$44:$U$49,MATCH(AT$4,Escalators!$C$44:$C$49,0),MATCH(AT$5,Escalators!$I$43:$U$43,0))</f>
        <v>0</v>
      </c>
      <c r="AU13" s="47">
        <f>INDEX(Lab_Mat!$K$6:$N$9,MATCH($H13,Lab_Mat!$J$6:$J$9,0),MATCH($AY$4,Lab_Mat!$K$5:$N$5,0))*$M13*INDEX(Act_Type_Repex_Splits,MATCH($I13,Act_Type_Repex,0),MATCH(AU$4,Mat_Type,0))*INDEX(Escalators!$I$44:$U$49,MATCH(AU$4,Escalators!$C$44:$C$49,0),MATCH(AU$5,Escalators!$I$43:$U$43,0))</f>
        <v>0</v>
      </c>
      <c r="AV13" s="47">
        <f>INDEX(Lab_Mat!$K$6:$N$9,MATCH($H13,Lab_Mat!$J$6:$J$9,0),MATCH($AY$4,Lab_Mat!$K$5:$N$5,0))*$M13*INDEX(Act_Type_Repex_Splits,MATCH($I13,Act_Type_Repex,0),MATCH(AV$4,Mat_Type,0))*INDEX(Escalators!$I$44:$U$49,MATCH(AV$4,Escalators!$C$44:$C$49,0),MATCH(AV$5,Escalators!$I$43:$U$43,0))</f>
        <v>0</v>
      </c>
      <c r="AW13" s="47">
        <f>INDEX(Lab_Mat!$K$6:$N$9,MATCH($H13,Lab_Mat!$J$6:$J$9,0),MATCH($AY$4,Lab_Mat!$K$5:$N$5,0))*$M13*INDEX(Act_Type_Repex_Splits,MATCH($I13,Act_Type_Repex,0),MATCH(AW$4,Mat_Type,0))*INDEX(Escalators!$I$44:$U$49,MATCH(AW$4,Escalators!$C$44:$C$49,0),MATCH(AW$5,Escalators!$I$43:$U$43,0))</f>
        <v>0</v>
      </c>
      <c r="AX13" s="47">
        <f>INDEX(Lab_Mat!$K$6:$N$9,MATCH($H13,Lab_Mat!$J$6:$J$9,0),MATCH($AY$4,Lab_Mat!$K$5:$N$5,0))*$M13*INDEX(Act_Type_Repex_Splits,MATCH($I13,Act_Type_Repex,0),MATCH(AX$4,Mat_Type,0))*INDEX(Escalators!$I$44:$U$49,MATCH(AX$4,Escalators!$C$44:$C$49,0),MATCH(AX$5,Escalators!$I$43:$U$43,0))</f>
        <v>0</v>
      </c>
      <c r="AY13" s="47">
        <f t="shared" si="19"/>
        <v>0</v>
      </c>
      <c r="AZ13" s="47">
        <f>INDEX(Lab_Mat!$K$6:$N$9,MATCH($H13,Lab_Mat!$J$6:$J$9,0),MATCH($BE$4,Lab_Mat!$K$5:$N$5,0))*$N13*INDEX(Act_Type_Repex_Splits,MATCH($I13,Act_Type_Repex,0),MATCH(AZ$4,Mat_Type,0))*INDEX(Escalators!$I$44:$U$49,MATCH(AZ$4,Escalators!$C$44:$C$49,0),MATCH(AZ$5,Escalators!$I$43:$U$43,0))</f>
        <v>0</v>
      </c>
      <c r="BA13" s="47">
        <f>INDEX(Lab_Mat!$K$6:$N$9,MATCH($H13,Lab_Mat!$J$6:$J$9,0),MATCH($BE$4,Lab_Mat!$K$5:$N$5,0))*$N13*INDEX(Act_Type_Repex_Splits,MATCH($I13,Act_Type_Repex,0),MATCH(BA$4,Mat_Type,0))*INDEX(Escalators!$I$44:$U$49,MATCH(BA$4,Escalators!$C$44:$C$49,0),MATCH(BA$5,Escalators!$I$43:$U$43,0))</f>
        <v>0</v>
      </c>
      <c r="BB13" s="47">
        <f>INDEX(Lab_Mat!$K$6:$N$9,MATCH($H13,Lab_Mat!$J$6:$J$9,0),MATCH($BE$4,Lab_Mat!$K$5:$N$5,0))*$N13*INDEX(Act_Type_Repex_Splits,MATCH($I13,Act_Type_Repex,0),MATCH(BB$4,Mat_Type,0))*INDEX(Escalators!$I$44:$U$49,MATCH(BB$4,Escalators!$C$44:$C$49,0),MATCH(BB$5,Escalators!$I$43:$U$43,0))</f>
        <v>0</v>
      </c>
      <c r="BC13" s="47">
        <f>INDEX(Lab_Mat!$K$6:$N$9,MATCH($H13,Lab_Mat!$J$6:$J$9,0),MATCH($BE$4,Lab_Mat!$K$5:$N$5,0))*$N13*INDEX(Act_Type_Repex_Splits,MATCH($I13,Act_Type_Repex,0),MATCH(BC$4,Mat_Type,0))*INDEX(Escalators!$I$44:$U$49,MATCH(BC$4,Escalators!$C$44:$C$49,0),MATCH(BC$5,Escalators!$I$43:$U$43,0))</f>
        <v>0</v>
      </c>
      <c r="BD13" s="47">
        <f>INDEX(Lab_Mat!$K$6:$N$9,MATCH($H13,Lab_Mat!$J$6:$J$9,0),MATCH($BE$4,Lab_Mat!$K$5:$N$5,0))*$N13*INDEX(Act_Type_Repex_Splits,MATCH($I13,Act_Type_Repex,0),MATCH(BD$4,Mat_Type,0))*INDEX(Escalators!$I$44:$U$49,MATCH(BD$4,Escalators!$C$44:$C$49,0),MATCH(BD$5,Escalators!$I$43:$U$43,0))</f>
        <v>0</v>
      </c>
      <c r="BE13" s="47">
        <f t="shared" si="20"/>
        <v>0</v>
      </c>
      <c r="BF13" s="47">
        <f>INDEX(Lab_Mat!$K$6:$N$9,MATCH($H13,Lab_Mat!$J$6:$J$9,0),MATCH($BK$4,Lab_Mat!$K$5:$N$5,0))*$O13*INDEX(Act_Type_Repex_Splits,MATCH($I13,Act_Type_Repex,0),MATCH(BF$4,Mat_Type,0))*INDEX(Escalators!$I$44:$U$49,MATCH(BF$4,Escalators!$C$44:$C$49,0),MATCH(BF$5,Escalators!$I$43:$U$43,0))</f>
        <v>0</v>
      </c>
      <c r="BG13" s="47">
        <f>INDEX(Lab_Mat!$K$6:$N$9,MATCH($H13,Lab_Mat!$J$6:$J$9,0),MATCH($BK$4,Lab_Mat!$K$5:$N$5,0))*$O13*INDEX(Act_Type_Repex_Splits,MATCH($I13,Act_Type_Repex,0),MATCH(BG$4,Mat_Type,0))*INDEX(Escalators!$I$44:$U$49,MATCH(BG$4,Escalators!$C$44:$C$49,0),MATCH(BG$5,Escalators!$I$43:$U$43,0))</f>
        <v>0</v>
      </c>
      <c r="BH13" s="47">
        <f>INDEX(Lab_Mat!$K$6:$N$9,MATCH($H13,Lab_Mat!$J$6:$J$9,0),MATCH($BK$4,Lab_Mat!$K$5:$N$5,0))*$O13*INDEX(Act_Type_Repex_Splits,MATCH($I13,Act_Type_Repex,0),MATCH(BH$4,Mat_Type,0))*INDEX(Escalators!$I$44:$U$49,MATCH(BH$4,Escalators!$C$44:$C$49,0),MATCH(BH$5,Escalators!$I$43:$U$43,0))</f>
        <v>0</v>
      </c>
      <c r="BI13" s="47">
        <f>INDEX(Lab_Mat!$K$6:$N$9,MATCH($H13,Lab_Mat!$J$6:$J$9,0),MATCH($BK$4,Lab_Mat!$K$5:$N$5,0))*$O13*INDEX(Act_Type_Repex_Splits,MATCH($I13,Act_Type_Repex,0),MATCH(BI$4,Mat_Type,0))*INDEX(Escalators!$I$44:$U$49,MATCH(BI$4,Escalators!$C$44:$C$49,0),MATCH(BI$5,Escalators!$I$43:$U$43,0))</f>
        <v>0</v>
      </c>
      <c r="BJ13" s="47">
        <f>INDEX(Lab_Mat!$K$6:$N$9,MATCH($H13,Lab_Mat!$J$6:$J$9,0),MATCH($BK$4,Lab_Mat!$K$5:$N$5,0))*$O13*INDEX(Act_Type_Repex_Splits,MATCH($I13,Act_Type_Repex,0),MATCH(BJ$4,Mat_Type,0))*INDEX(Escalators!$I$44:$U$49,MATCH(BJ$4,Escalators!$C$44:$C$49,0),MATCH(BJ$5,Escalators!$I$43:$U$43,0))</f>
        <v>0</v>
      </c>
      <c r="BK13" s="47">
        <f t="shared" si="21"/>
        <v>0</v>
      </c>
      <c r="BL13" s="47">
        <f>INDEX(Lab_Mat!$K$6:$N$9,MATCH($H13,Lab_Mat!$J$6:$J$9,0),MATCH($BQ$4,Lab_Mat!$K$5:$N$5,0))*$P13*INDEX(Act_Type_Repex_Splits,MATCH($I13,Act_Type_Repex,0),MATCH(BL$4,Mat_Type,0))*INDEX(Escalators!$I$44:$U$49,MATCH(BL$4,Escalators!$C$44:$C$49,0),MATCH(BL$5,Escalators!$I$43:$U$43,0))</f>
        <v>0</v>
      </c>
      <c r="BM13" s="47">
        <f>INDEX(Lab_Mat!$K$6:$N$9,MATCH($H13,Lab_Mat!$J$6:$J$9,0),MATCH($BQ$4,Lab_Mat!$K$5:$N$5,0))*$P13*INDEX(Act_Type_Repex_Splits,MATCH($I13,Act_Type_Repex,0),MATCH(BM$4,Mat_Type,0))*INDEX(Escalators!$I$44:$U$49,MATCH(BM$4,Escalators!$C$44:$C$49,0),MATCH(BM$5,Escalators!$I$43:$U$43,0))</f>
        <v>0</v>
      </c>
      <c r="BN13" s="47">
        <f>INDEX(Lab_Mat!$K$6:$N$9,MATCH($H13,Lab_Mat!$J$6:$J$9,0),MATCH($BQ$4,Lab_Mat!$K$5:$N$5,0))*$P13*INDEX(Act_Type_Repex_Splits,MATCH($I13,Act_Type_Repex,0),MATCH(BN$4,Mat_Type,0))*INDEX(Escalators!$I$44:$U$49,MATCH(BN$4,Escalators!$C$44:$C$49,0),MATCH(BN$5,Escalators!$I$43:$U$43,0))</f>
        <v>0</v>
      </c>
      <c r="BO13" s="47">
        <f>INDEX(Lab_Mat!$K$6:$N$9,MATCH($H13,Lab_Mat!$J$6:$J$9,0),MATCH($BQ$4,Lab_Mat!$K$5:$N$5,0))*$P13*INDEX(Act_Type_Repex_Splits,MATCH($I13,Act_Type_Repex,0),MATCH(BO$4,Mat_Type,0))*INDEX(Escalators!$I$44:$U$49,MATCH(BO$4,Escalators!$C$44:$C$49,0),MATCH(BO$5,Escalators!$I$43:$U$43,0))</f>
        <v>0</v>
      </c>
      <c r="BP13" s="47">
        <f>INDEX(Lab_Mat!$K$6:$N$9,MATCH($H13,Lab_Mat!$J$6:$J$9,0),MATCH($BQ$4,Lab_Mat!$K$5:$N$5,0))*$P13*INDEX(Act_Type_Repex_Splits,MATCH($I13,Act_Type_Repex,0),MATCH(BP$4,Mat_Type,0))*INDEX(Escalators!$I$44:$U$49,MATCH(BP$4,Escalators!$C$44:$C$49,0),MATCH(BP$5,Escalators!$I$43:$U$43,0))</f>
        <v>0</v>
      </c>
      <c r="BQ13" s="47">
        <f t="shared" si="22"/>
        <v>0</v>
      </c>
      <c r="BR13" s="47">
        <f>INDEX(Lab_Mat!$K$6:$N$9,MATCH($H13,Lab_Mat!$J$6:$J$9,0),MATCH($BW$4,Lab_Mat!$K$5:$N$5,0))*$Q13*INDEX(Act_Type_Repex_Splits,MATCH($I13,Act_Type_Repex,0),MATCH(BR$4,Mat_Type,0))*INDEX(Escalators!$I$44:$U$49,MATCH(BR$4,Escalators!$C$44:$C$49,0),MATCH(BR$5,Escalators!$I$43:$U$43,0))</f>
        <v>0</v>
      </c>
      <c r="BS13" s="47">
        <f>INDEX(Lab_Mat!$K$6:$N$9,MATCH($H13,Lab_Mat!$J$6:$J$9,0),MATCH($BW$4,Lab_Mat!$K$5:$N$5,0))*$Q13*INDEX(Act_Type_Repex_Splits,MATCH($I13,Act_Type_Repex,0),MATCH(BS$4,Mat_Type,0))*INDEX(Escalators!$I$44:$U$49,MATCH(BS$4,Escalators!$C$44:$C$49,0),MATCH(BS$5,Escalators!$I$43:$U$43,0))</f>
        <v>0</v>
      </c>
      <c r="BT13" s="47">
        <f>INDEX(Lab_Mat!$K$6:$N$9,MATCH($H13,Lab_Mat!$J$6:$J$9,0),MATCH($BW$4,Lab_Mat!$K$5:$N$5,0))*$Q13*INDEX(Act_Type_Repex_Splits,MATCH($I13,Act_Type_Repex,0),MATCH(BT$4,Mat_Type,0))*INDEX(Escalators!$I$44:$U$49,MATCH(BT$4,Escalators!$C$44:$C$49,0),MATCH(BT$5,Escalators!$I$43:$U$43,0))</f>
        <v>0</v>
      </c>
      <c r="BU13" s="47">
        <f>INDEX(Lab_Mat!$K$6:$N$9,MATCH($H13,Lab_Mat!$J$6:$J$9,0),MATCH($BW$4,Lab_Mat!$K$5:$N$5,0))*$Q13*INDEX(Act_Type_Repex_Splits,MATCH($I13,Act_Type_Repex,0),MATCH(BU$4,Mat_Type,0))*INDEX(Escalators!$I$44:$U$49,MATCH(BU$4,Escalators!$C$44:$C$49,0),MATCH(BU$5,Escalators!$I$43:$U$43,0))</f>
        <v>0</v>
      </c>
      <c r="BV13" s="47">
        <f>INDEX(Lab_Mat!$K$6:$N$9,MATCH($H13,Lab_Mat!$J$6:$J$9,0),MATCH($BW$4,Lab_Mat!$K$5:$N$5,0))*$Q13*INDEX(Act_Type_Repex_Splits,MATCH($I13,Act_Type_Repex,0),MATCH(BV$4,Mat_Type,0))*INDEX(Escalators!$I$44:$U$49,MATCH(BV$4,Escalators!$C$44:$C$49,0),MATCH(BV$5,Escalators!$I$43:$U$43,0))</f>
        <v>0</v>
      </c>
      <c r="BW13" s="47">
        <f t="shared" si="23"/>
        <v>0</v>
      </c>
      <c r="BY13" s="47">
        <f>INDEX(Lab_Mat!$K$6:$N$9,MATCH($H13,Lab_Mat!$J$6:$J$9,0),MATCH($BY$4,Lab_Mat!$K$5:$N$5,0))*J13*HLOOKUP(BY$5,Escalators!$I$25:$U$30,6,FALSE)</f>
        <v>0</v>
      </c>
      <c r="BZ13" s="47">
        <f>INDEX(Lab_Mat!$K$6:$N$9,MATCH($H13,Lab_Mat!$J$6:$J$9,0),MATCH($BY$4,Lab_Mat!$K$5:$N$5,0))*K13*HLOOKUP(BZ$5,Escalators!$I$25:$U$30,6,FALSE)</f>
        <v>0</v>
      </c>
      <c r="CA13" s="47">
        <f>INDEX(Lab_Mat!$K$6:$N$9,MATCH($H13,Lab_Mat!$J$6:$J$9,0),MATCH($BY$4,Lab_Mat!$K$5:$N$5,0))*L13*HLOOKUP(CA$5,Escalators!$I$25:$U$30,6,FALSE)</f>
        <v>0</v>
      </c>
      <c r="CB13" s="47">
        <f>INDEX(Lab_Mat!$K$6:$N$9,MATCH($H13,Lab_Mat!$J$6:$J$9,0),MATCH($BY$4,Lab_Mat!$K$5:$N$5,0))*M13*HLOOKUP(CB$5,Escalators!$I$25:$U$30,6,FALSE)</f>
        <v>0</v>
      </c>
      <c r="CC13" s="47">
        <f>INDEX(Lab_Mat!$K$6:$N$9,MATCH($H13,Lab_Mat!$J$6:$J$9,0),MATCH($BY$4,Lab_Mat!$K$5:$N$5,0))*N13*HLOOKUP(CC$5,Escalators!$I$25:$U$30,6,FALSE)</f>
        <v>0</v>
      </c>
      <c r="CD13" s="47">
        <f>INDEX(Lab_Mat!$K$6:$N$9,MATCH($H13,Lab_Mat!$J$6:$J$9,0),MATCH($BY$4,Lab_Mat!$K$5:$N$5,0))*O13*HLOOKUP(CD$5,Escalators!$I$25:$U$30,6,FALSE)</f>
        <v>0</v>
      </c>
      <c r="CE13" s="47">
        <f>INDEX(Lab_Mat!$K$6:$N$9,MATCH($H13,Lab_Mat!$J$6:$J$9,0),MATCH($BY$4,Lab_Mat!$K$5:$N$5,0))*P13*HLOOKUP(CE$5,Escalators!$I$25:$U$30,6,FALSE)</f>
        <v>0</v>
      </c>
      <c r="CF13" s="47">
        <f>INDEX(Lab_Mat!$K$6:$N$9,MATCH($H13,Lab_Mat!$J$6:$J$9,0),MATCH($BY$4,Lab_Mat!$K$5:$N$5,0))*Q13*HLOOKUP(CF$5,Escalators!$I$25:$U$30,6,FALSE)</f>
        <v>0</v>
      </c>
      <c r="CH13" s="47">
        <f>INDEX(Lab_Mat!$K$6:$N$9,MATCH($H13,Lab_Mat!$J$6:$J$9,0),MATCH($CH$4,Lab_Mat!$K$5:$N$5,0))*J13</f>
        <v>0</v>
      </c>
      <c r="CI13" s="47">
        <f>INDEX(Lab_Mat!$K$6:$N$9,MATCH($H13,Lab_Mat!$J$6:$J$9,0),MATCH($CH$4,Lab_Mat!$K$5:$N$5,0))*K13</f>
        <v>0</v>
      </c>
      <c r="CJ13" s="47">
        <f>INDEX(Lab_Mat!$K$6:$N$9,MATCH($H13,Lab_Mat!$J$6:$J$9,0),MATCH($CH$4,Lab_Mat!$K$5:$N$5,0))*L13</f>
        <v>0</v>
      </c>
      <c r="CK13" s="47">
        <f>INDEX(Lab_Mat!$K$6:$N$9,MATCH($H13,Lab_Mat!$J$6:$J$9,0),MATCH($CH$4,Lab_Mat!$K$5:$N$5,0))*M13</f>
        <v>0</v>
      </c>
      <c r="CL13" s="47">
        <f>INDEX(Lab_Mat!$K$6:$N$9,MATCH($H13,Lab_Mat!$J$6:$J$9,0),MATCH($CH$4,Lab_Mat!$K$5:$N$5,0))*N13</f>
        <v>0</v>
      </c>
      <c r="CM13" s="47">
        <f>INDEX(Lab_Mat!$K$6:$N$9,MATCH($H13,Lab_Mat!$J$6:$J$9,0),MATCH($CH$4,Lab_Mat!$K$5:$N$5,0))*O13</f>
        <v>0</v>
      </c>
      <c r="CN13" s="47">
        <f>INDEX(Lab_Mat!$K$6:$N$9,MATCH($H13,Lab_Mat!$J$6:$J$9,0),MATCH($CH$4,Lab_Mat!$K$5:$N$5,0))*P13</f>
        <v>0</v>
      </c>
      <c r="CO13" s="47">
        <f>INDEX(Lab_Mat!$K$6:$N$9,MATCH($H13,Lab_Mat!$J$6:$J$9,0),MATCH($CH$4,Lab_Mat!$K$5:$N$5,0))*Q13</f>
        <v>0</v>
      </c>
      <c r="CQ13" s="47">
        <f t="shared" si="24"/>
        <v>0</v>
      </c>
      <c r="CR13" s="47">
        <f t="shared" si="25"/>
        <v>0</v>
      </c>
      <c r="CS13" s="47">
        <f t="shared" si="26"/>
        <v>0</v>
      </c>
      <c r="CT13" s="47">
        <f t="shared" si="27"/>
        <v>0</v>
      </c>
      <c r="CU13" s="47">
        <f t="shared" si="28"/>
        <v>0</v>
      </c>
      <c r="CV13" s="47">
        <f t="shared" si="29"/>
        <v>0</v>
      </c>
      <c r="CW13" s="47">
        <f t="shared" si="30"/>
        <v>0</v>
      </c>
      <c r="CX13" s="47">
        <f t="shared" si="31"/>
        <v>0</v>
      </c>
      <c r="CY13" s="39"/>
      <c r="CZ13" s="39"/>
      <c r="DA13" s="39"/>
      <c r="DB13" s="39"/>
      <c r="DC13" s="39"/>
    </row>
    <row r="14" spans="2:109" x14ac:dyDescent="0.3">
      <c r="B14" s="7"/>
      <c r="C14" s="7"/>
      <c r="D14" s="7"/>
      <c r="E14" s="7"/>
      <c r="F14" s="7"/>
      <c r="G14" s="7"/>
      <c r="H14" s="7"/>
      <c r="I14" s="7"/>
      <c r="J14" s="45"/>
      <c r="K14" s="45"/>
      <c r="L14" s="45"/>
      <c r="M14" s="45"/>
      <c r="N14" s="45"/>
      <c r="O14" s="45"/>
      <c r="P14" s="45"/>
      <c r="Q14" s="45"/>
      <c r="S14" s="47"/>
      <c r="T14" s="47"/>
      <c r="U14" s="47"/>
      <c r="V14" s="47"/>
      <c r="W14" s="47"/>
      <c r="X14" s="47"/>
      <c r="Y14" s="47"/>
      <c r="Z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Y14" s="47"/>
      <c r="BZ14" s="47"/>
      <c r="CA14" s="47"/>
      <c r="CB14" s="47"/>
      <c r="CC14" s="47"/>
      <c r="CD14" s="47"/>
      <c r="CE14" s="47"/>
      <c r="CF14" s="47"/>
      <c r="CH14" s="47"/>
      <c r="CI14" s="47"/>
      <c r="CJ14" s="47"/>
      <c r="CK14" s="47"/>
      <c r="CL14" s="47"/>
      <c r="CM14" s="47"/>
      <c r="CN14" s="47"/>
      <c r="CO14" s="47"/>
      <c r="CQ14" s="47">
        <f t="shared" si="24"/>
        <v>0</v>
      </c>
      <c r="CR14" s="47">
        <f t="shared" si="25"/>
        <v>0</v>
      </c>
      <c r="CS14" s="47">
        <f t="shared" si="26"/>
        <v>0</v>
      </c>
      <c r="CT14" s="47">
        <f t="shared" si="27"/>
        <v>0</v>
      </c>
      <c r="CU14" s="47">
        <f t="shared" si="28"/>
        <v>0</v>
      </c>
      <c r="CV14" s="47">
        <f t="shared" si="29"/>
        <v>0</v>
      </c>
      <c r="CW14" s="47">
        <f t="shared" si="30"/>
        <v>0</v>
      </c>
      <c r="CX14" s="47">
        <f t="shared" si="31"/>
        <v>0</v>
      </c>
    </row>
    <row r="15" spans="2:109" x14ac:dyDescent="0.3">
      <c r="B15" s="7"/>
      <c r="C15" s="257" t="s">
        <v>411</v>
      </c>
      <c r="D15" s="7" t="s">
        <v>693</v>
      </c>
      <c r="E15" s="7" t="s">
        <v>44</v>
      </c>
      <c r="F15" s="7" t="s">
        <v>55</v>
      </c>
      <c r="G15" s="7" t="s">
        <v>10</v>
      </c>
      <c r="H15" s="7" t="s">
        <v>750</v>
      </c>
      <c r="I15" s="7" t="s">
        <v>186</v>
      </c>
      <c r="J15" s="45"/>
      <c r="K15" s="45"/>
      <c r="L15" s="45"/>
      <c r="M15" s="45">
        <v>2359.4685778400476</v>
      </c>
      <c r="N15" s="45">
        <v>1008.9199335561024</v>
      </c>
      <c r="O15" s="45">
        <v>0</v>
      </c>
      <c r="P15" s="45"/>
      <c r="Q15" s="45"/>
      <c r="S15" s="47">
        <f>INDEX(Lab_Mat!$K$6:$N$9,MATCH($H15,Lab_Mat!$J$6:$J$9,0),MATCH($S$4,Lab_Mat!$K$5:$N$5,0))*J15*HLOOKUP(S$5,Escalators!$I$25:$U$30,3,FALSE)</f>
        <v>0</v>
      </c>
      <c r="T15" s="47">
        <f>INDEX(Lab_Mat!$K$6:$N$9,MATCH($H15,Lab_Mat!$J$6:$J$9,0),MATCH($S$4,Lab_Mat!$K$5:$N$5,0))*K15*HLOOKUP(T$5,Escalators!$I$25:$U$30,3,FALSE)</f>
        <v>0</v>
      </c>
      <c r="U15" s="47">
        <f>INDEX(Lab_Mat!$K$6:$N$9,MATCH($H15,Lab_Mat!$J$6:$J$9,0),MATCH($S$4,Lab_Mat!$K$5:$N$5,0))*L15*HLOOKUP(U$5,Escalators!$I$25:$U$30,3,FALSE)</f>
        <v>0</v>
      </c>
      <c r="V15" s="47">
        <f>INDEX(Lab_Mat!$K$6:$N$9,MATCH($H15,Lab_Mat!$J$6:$J$9,0),MATCH($S$4,Lab_Mat!$K$5:$N$5,0))*M15*HLOOKUP(V$5,Escalators!$I$25:$U$30,3,FALSE)</f>
        <v>448.24029992688349</v>
      </c>
      <c r="W15" s="47">
        <f>INDEX(Lab_Mat!$K$6:$N$9,MATCH($H15,Lab_Mat!$J$6:$J$9,0),MATCH($S$4,Lab_Mat!$K$5:$N$5,0))*N15*HLOOKUP(W$5,Escalators!$I$25:$U$30,3,FALSE)</f>
        <v>193.63623616447595</v>
      </c>
      <c r="X15" s="47">
        <f>INDEX(Lab_Mat!$K$6:$N$9,MATCH($H15,Lab_Mat!$J$6:$J$9,0),MATCH($S$4,Lab_Mat!$K$5:$N$5,0))*O15*HLOOKUP(X$5,Escalators!$I$25:$U$30,3,FALSE)</f>
        <v>0</v>
      </c>
      <c r="Y15" s="47">
        <f>INDEX(Lab_Mat!$K$6:$N$9,MATCH($H15,Lab_Mat!$J$6:$J$9,0),MATCH($S$4,Lab_Mat!$K$5:$N$5,0))*P15*HLOOKUP(Y$5,Escalators!$I$25:$U$30,3,FALSE)</f>
        <v>0</v>
      </c>
      <c r="Z15" s="47">
        <f>INDEX(Lab_Mat!$K$6:$N$9,MATCH($H15,Lab_Mat!$J$6:$J$9,0),MATCH($S$4,Lab_Mat!$K$5:$N$5,0))*Q15*HLOOKUP(Z$5,Escalators!$I$25:$U$30,3,FALSE)</f>
        <v>0</v>
      </c>
      <c r="AB15" s="47">
        <f>INDEX(Lab_Mat!$K$6:$N$9,MATCH($H15,Lab_Mat!$J$6:$J$9,0),MATCH($AG$4,Lab_Mat!$K$5:$N$5,0))*$J15*INDEX(Act_Type_Repex_Splits,MATCH($I15,Act_Type_Repex,0),MATCH(AB$4,Mat_Type,0))*INDEX(Escalators!$I$44:$Q$49,MATCH(AB$4,Escalators!$C$44:$C$49,0),MATCH(AB$5,Escalators!$I$43:$Q$43,0))</f>
        <v>0</v>
      </c>
      <c r="AC15" s="47">
        <f>INDEX(Lab_Mat!$K$6:$N$9,MATCH($H15,Lab_Mat!$J$6:$J$9,0),MATCH($AG$4,Lab_Mat!$K$5:$N$5,0))*$J15*INDEX(Act_Type_Repex_Splits,MATCH($I15,Act_Type_Repex,0),MATCH(AC$4,Mat_Type,0))*INDEX(Escalators!$I$44:$Q$49,MATCH(AC$4,Escalators!$C$44:$C$49,0),MATCH(AC$5,Escalators!$I$43:$Q$43,0))</f>
        <v>0</v>
      </c>
      <c r="AD15" s="47">
        <f>INDEX(Lab_Mat!$K$6:$N$9,MATCH($H15,Lab_Mat!$J$6:$J$9,0),MATCH($AG$4,Lab_Mat!$K$5:$N$5,0))*$J15*INDEX(Act_Type_Repex_Splits,MATCH($I15,Act_Type_Repex,0),MATCH(AD$4,Mat_Type,0))*INDEX(Escalators!$I$44:$Q$49,MATCH(AD$4,Escalators!$C$44:$C$49,0),MATCH(AD$5,Escalators!$I$43:$Q$43,0))</f>
        <v>0</v>
      </c>
      <c r="AE15" s="47">
        <f>INDEX(Lab_Mat!$K$6:$N$9,MATCH($H15,Lab_Mat!$J$6:$J$9,0),MATCH($AG$4,Lab_Mat!$K$5:$N$5,0))*$J15*INDEX(Act_Type_Repex_Splits,MATCH($I15,Act_Type_Repex,0),MATCH(AE$4,Mat_Type,0))*INDEX(Escalators!$I$44:$Q$49,MATCH(AE$4,Escalators!$C$44:$C$49,0),MATCH(AE$5,Escalators!$I$43:$Q$43,0))</f>
        <v>0</v>
      </c>
      <c r="AF15" s="47">
        <f>INDEX(Lab_Mat!$K$6:$N$9,MATCH($H15,Lab_Mat!$J$6:$J$9,0),MATCH($AG$4,Lab_Mat!$K$5:$N$5,0))*$J15*INDEX(Act_Type_Repex_Splits,MATCH($I15,Act_Type_Repex,0),MATCH(AF$4,Mat_Type,0))*INDEX(Escalators!$I$44:$Q$49,MATCH(AF$4,Escalators!$C$44:$C$49,0),MATCH(AF$5,Escalators!$I$43:$Q$43,0))</f>
        <v>0</v>
      </c>
      <c r="AG15" s="47">
        <f t="shared" ref="AG15:AG21" si="32">SUM(AB15:AF15)</f>
        <v>0</v>
      </c>
      <c r="AH15" s="47">
        <f>INDEX(Lab_Mat!$K$6:$N$9,MATCH($H15,Lab_Mat!$J$6:$J$9,0),MATCH($AY$4,Lab_Mat!$K$5:$N$5,0))*$K15*INDEX(Act_Type_Repex_Splits,MATCH($I15,Act_Type_Repex,0),MATCH(AH$4,Mat_Type,0))*INDEX(Escalators!$I$44:$U$49,MATCH(AH$4,Escalators!$C$44:$C$49,0),MATCH(AH$5,Escalators!$I$43:$U$43,0))</f>
        <v>0</v>
      </c>
      <c r="AI15" s="47">
        <f>INDEX(Lab_Mat!$K$6:$N$9,MATCH($H15,Lab_Mat!$J$6:$J$9,0),MATCH($AY$4,Lab_Mat!$K$5:$N$5,0))*$K15*INDEX(Act_Type_Repex_Splits,MATCH($I15,Act_Type_Repex,0),MATCH(AI$4,Mat_Type,0))*INDEX(Escalators!$I$44:$U$49,MATCH(AI$4,Escalators!$C$44:$C$49,0),MATCH(AI$5,Escalators!$I$43:$U$43,0))</f>
        <v>0</v>
      </c>
      <c r="AJ15" s="47">
        <f>INDEX(Lab_Mat!$K$6:$N$9,MATCH($H15,Lab_Mat!$J$6:$J$9,0),MATCH($AY$4,Lab_Mat!$K$5:$N$5,0))*$K15*INDEX(Act_Type_Repex_Splits,MATCH($I15,Act_Type_Repex,0),MATCH(AJ$4,Mat_Type,0))*INDEX(Escalators!$I$44:$U$49,MATCH(AJ$4,Escalators!$C$44:$C$49,0),MATCH(AJ$5,Escalators!$I$43:$U$43,0))</f>
        <v>0</v>
      </c>
      <c r="AK15" s="47">
        <f>INDEX(Lab_Mat!$K$6:$N$9,MATCH($H15,Lab_Mat!$J$6:$J$9,0),MATCH($AY$4,Lab_Mat!$K$5:$N$5,0))*$K15*INDEX(Act_Type_Repex_Splits,MATCH($I15,Act_Type_Repex,0),MATCH(AK$4,Mat_Type,0))*INDEX(Escalators!$I$44:$U$49,MATCH(AK$4,Escalators!$C$44:$C$49,0),MATCH(AK$5,Escalators!$I$43:$U$43,0))</f>
        <v>0</v>
      </c>
      <c r="AL15" s="47">
        <f>INDEX(Lab_Mat!$K$6:$N$9,MATCH($H15,Lab_Mat!$J$6:$J$9,0),MATCH($AY$4,Lab_Mat!$K$5:$N$5,0))*$K15*INDEX(Act_Type_Repex_Splits,MATCH($I15,Act_Type_Repex,0),MATCH(AL$4,Mat_Type,0))*INDEX(Escalators!$I$44:$U$49,MATCH(AL$4,Escalators!$C$44:$C$49,0),MATCH(AL$5,Escalators!$I$43:$U$43,0))</f>
        <v>0</v>
      </c>
      <c r="AM15" s="47">
        <f t="shared" ref="AM15:AM21" si="33">SUM(AH15:AL15)</f>
        <v>0</v>
      </c>
      <c r="AN15" s="47">
        <f>INDEX(Lab_Mat!$K$6:$N$9,MATCH($H15,Lab_Mat!$J$6:$J$9,0),MATCH($AY$4,Lab_Mat!$K$5:$N$5,0))*$L15*INDEX(Act_Type_Repex_Splits,MATCH($I15,Act_Type_Repex,0),MATCH(AN$4,Mat_Type,0))*INDEX(Escalators!$I$44:$U$49,MATCH(AN$4,Escalators!$C$44:$C$49,0),MATCH(AN$5,Escalators!$I$43:$U$43,0))</f>
        <v>0</v>
      </c>
      <c r="AO15" s="47">
        <f>INDEX(Lab_Mat!$K$6:$N$9,MATCH($H15,Lab_Mat!$J$6:$J$9,0),MATCH($AY$4,Lab_Mat!$K$5:$N$5,0))*$L15*INDEX(Act_Type_Repex_Splits,MATCH($I15,Act_Type_Repex,0),MATCH(AO$4,Mat_Type,0))*INDEX(Escalators!$I$44:$U$49,MATCH(AO$4,Escalators!$C$44:$C$49,0),MATCH(AO$5,Escalators!$I$43:$U$43,0))</f>
        <v>0</v>
      </c>
      <c r="AP15" s="47">
        <f>INDEX(Lab_Mat!$K$6:$N$9,MATCH($H15,Lab_Mat!$J$6:$J$9,0),MATCH($AY$4,Lab_Mat!$K$5:$N$5,0))*$L15*INDEX(Act_Type_Repex_Splits,MATCH($I15,Act_Type_Repex,0),MATCH(AP$4,Mat_Type,0))*INDEX(Escalators!$I$44:$U$49,MATCH(AP$4,Escalators!$C$44:$C$49,0),MATCH(AP$5,Escalators!$I$43:$U$43,0))</f>
        <v>0</v>
      </c>
      <c r="AQ15" s="47">
        <f>INDEX(Lab_Mat!$K$6:$N$9,MATCH($H15,Lab_Mat!$J$6:$J$9,0),MATCH($AY$4,Lab_Mat!$K$5:$N$5,0))*$L15*INDEX(Act_Type_Repex_Splits,MATCH($I15,Act_Type_Repex,0),MATCH(AQ$4,Mat_Type,0))*INDEX(Escalators!$I$44:$U$49,MATCH(AQ$4,Escalators!$C$44:$C$49,0),MATCH(AQ$5,Escalators!$I$43:$U$43,0))</f>
        <v>0</v>
      </c>
      <c r="AR15" s="47">
        <f>INDEX(Lab_Mat!$K$6:$N$9,MATCH($H15,Lab_Mat!$J$6:$J$9,0),MATCH($AY$4,Lab_Mat!$K$5:$N$5,0))*$L15*INDEX(Act_Type_Repex_Splits,MATCH($I15,Act_Type_Repex,0),MATCH(AR$4,Mat_Type,0))*INDEX(Escalators!$I$44:$U$49,MATCH(AR$4,Escalators!$C$44:$C$49,0),MATCH(AR$5,Escalators!$I$43:$U$43,0))</f>
        <v>0</v>
      </c>
      <c r="AS15" s="47">
        <f t="shared" ref="AS15:AS21" si="34">SUM(AN15:AR15)</f>
        <v>0</v>
      </c>
      <c r="AT15" s="47">
        <f>INDEX(Lab_Mat!$K$6:$N$9,MATCH($H15,Lab_Mat!$J$6:$J$9,0),MATCH($AY$4,Lab_Mat!$K$5:$N$5,0))*$M15*INDEX(Act_Type_Repex_Splits,MATCH($I15,Act_Type_Repex,0),MATCH(AT$4,Mat_Type,0))*INDEX(Escalators!$I$44:$U$49,MATCH(AT$4,Escalators!$C$44:$C$49,0),MATCH(AT$5,Escalators!$I$43:$U$43,0))</f>
        <v>0</v>
      </c>
      <c r="AU15" s="47">
        <f>INDEX(Lab_Mat!$K$6:$N$9,MATCH($H15,Lab_Mat!$J$6:$J$9,0),MATCH($AY$4,Lab_Mat!$K$5:$N$5,0))*$M15*INDEX(Act_Type_Repex_Splits,MATCH($I15,Act_Type_Repex,0),MATCH(AU$4,Mat_Type,0))*INDEX(Escalators!$I$44:$U$49,MATCH(AU$4,Escalators!$C$44:$C$49,0),MATCH(AU$5,Escalators!$I$43:$U$43,0))</f>
        <v>383.20291763668268</v>
      </c>
      <c r="AV15" s="47">
        <f>INDEX(Lab_Mat!$K$6:$N$9,MATCH($H15,Lab_Mat!$J$6:$J$9,0),MATCH($AY$4,Lab_Mat!$K$5:$N$5,0))*$M15*INDEX(Act_Type_Repex_Splits,MATCH($I15,Act_Type_Repex,0),MATCH(AV$4,Mat_Type,0))*INDEX(Escalators!$I$44:$U$49,MATCH(AV$4,Escalators!$C$44:$C$49,0),MATCH(AV$5,Escalators!$I$43:$U$43,0))</f>
        <v>766.40583527336537</v>
      </c>
      <c r="AW15" s="47">
        <f>INDEX(Lab_Mat!$K$6:$N$9,MATCH($H15,Lab_Mat!$J$6:$J$9,0),MATCH($AY$4,Lab_Mat!$K$5:$N$5,0))*$M15*INDEX(Act_Type_Repex_Splits,MATCH($I15,Act_Type_Repex,0),MATCH(AW$4,Mat_Type,0))*INDEX(Escalators!$I$44:$U$49,MATCH(AW$4,Escalators!$C$44:$C$49,0),MATCH(AW$5,Escalators!$I$43:$U$43,0))</f>
        <v>127.73430587889423</v>
      </c>
      <c r="AX15" s="47">
        <f>INDEX(Lab_Mat!$K$6:$N$9,MATCH($H15,Lab_Mat!$J$6:$J$9,0),MATCH($AY$4,Lab_Mat!$K$5:$N$5,0))*$M15*INDEX(Act_Type_Repex_Splits,MATCH($I15,Act_Type_Repex,0),MATCH(AX$4,Mat_Type,0))*INDEX(Escalators!$I$44:$U$49,MATCH(AX$4,Escalators!$C$44:$C$49,0),MATCH(AX$5,Escalators!$I$43:$U$43,0))</f>
        <v>0</v>
      </c>
      <c r="AY15" s="47">
        <f t="shared" ref="AY15:AY21" si="35">SUM(AT15:AX15)</f>
        <v>1277.3430587889422</v>
      </c>
      <c r="AZ15" s="47">
        <f>INDEX(Lab_Mat!$K$6:$N$9,MATCH($H15,Lab_Mat!$J$6:$J$9,0),MATCH($BE$4,Lab_Mat!$K$5:$N$5,0))*$N15*INDEX(Act_Type_Repex_Splits,MATCH($I15,Act_Type_Repex,0),MATCH(AZ$4,Mat_Type,0))*INDEX(Escalators!$I$44:$U$49,MATCH(AZ$4,Escalators!$C$44:$C$49,0),MATCH(AZ$5,Escalators!$I$43:$U$43,0))</f>
        <v>0</v>
      </c>
      <c r="BA15" s="47">
        <f>INDEX(Lab_Mat!$K$6:$N$9,MATCH($H15,Lab_Mat!$J$6:$J$9,0),MATCH($BE$4,Lab_Mat!$K$5:$N$5,0))*$N15*INDEX(Act_Type_Repex_Splits,MATCH($I15,Act_Type_Repex,0),MATCH(BA$4,Mat_Type,0))*INDEX(Escalators!$I$44:$U$49,MATCH(BA$4,Escalators!$C$44:$C$49,0),MATCH(BA$5,Escalators!$I$43:$U$43,0))</f>
        <v>163.85938165552298</v>
      </c>
      <c r="BB15" s="47">
        <f>INDEX(Lab_Mat!$K$6:$N$9,MATCH($H15,Lab_Mat!$J$6:$J$9,0),MATCH($BE$4,Lab_Mat!$K$5:$N$5,0))*$N15*INDEX(Act_Type_Repex_Splits,MATCH($I15,Act_Type_Repex,0),MATCH(BB$4,Mat_Type,0))*INDEX(Escalators!$I$44:$U$49,MATCH(BB$4,Escalators!$C$44:$C$49,0),MATCH(BB$5,Escalators!$I$43:$U$43,0))</f>
        <v>327.71876331104596</v>
      </c>
      <c r="BC15" s="47">
        <f>INDEX(Lab_Mat!$K$6:$N$9,MATCH($H15,Lab_Mat!$J$6:$J$9,0),MATCH($BE$4,Lab_Mat!$K$5:$N$5,0))*$N15*INDEX(Act_Type_Repex_Splits,MATCH($I15,Act_Type_Repex,0),MATCH(BC$4,Mat_Type,0))*INDEX(Escalators!$I$44:$U$49,MATCH(BC$4,Escalators!$C$44:$C$49,0),MATCH(BC$5,Escalators!$I$43:$U$43,0))</f>
        <v>54.619793885174332</v>
      </c>
      <c r="BD15" s="47">
        <f>INDEX(Lab_Mat!$K$6:$N$9,MATCH($H15,Lab_Mat!$J$6:$J$9,0),MATCH($BE$4,Lab_Mat!$K$5:$N$5,0))*$N15*INDEX(Act_Type_Repex_Splits,MATCH($I15,Act_Type_Repex,0),MATCH(BD$4,Mat_Type,0))*INDEX(Escalators!$I$44:$U$49,MATCH(BD$4,Escalators!$C$44:$C$49,0),MATCH(BD$5,Escalators!$I$43:$U$43,0))</f>
        <v>0</v>
      </c>
      <c r="BE15" s="47">
        <f t="shared" ref="BE15:BE21" si="36">SUM(AZ15:BD15)</f>
        <v>546.19793885174329</v>
      </c>
      <c r="BF15" s="47">
        <f>INDEX(Lab_Mat!$K$6:$N$9,MATCH($H15,Lab_Mat!$J$6:$J$9,0),MATCH($BK$4,Lab_Mat!$K$5:$N$5,0))*$O15*INDEX(Act_Type_Repex_Splits,MATCH($I15,Act_Type_Repex,0),MATCH(BF$4,Mat_Type,0))*INDEX(Escalators!$I$44:$U$49,MATCH(BF$4,Escalators!$C$44:$C$49,0),MATCH(BF$5,Escalators!$I$43:$U$43,0))</f>
        <v>0</v>
      </c>
      <c r="BG15" s="47">
        <f>INDEX(Lab_Mat!$K$6:$N$9,MATCH($H15,Lab_Mat!$J$6:$J$9,0),MATCH($BK$4,Lab_Mat!$K$5:$N$5,0))*$O15*INDEX(Act_Type_Repex_Splits,MATCH($I15,Act_Type_Repex,0),MATCH(BG$4,Mat_Type,0))*INDEX(Escalators!$I$44:$U$49,MATCH(BG$4,Escalators!$C$44:$C$49,0),MATCH(BG$5,Escalators!$I$43:$U$43,0))</f>
        <v>0</v>
      </c>
      <c r="BH15" s="47">
        <f>INDEX(Lab_Mat!$K$6:$N$9,MATCH($H15,Lab_Mat!$J$6:$J$9,0),MATCH($BK$4,Lab_Mat!$K$5:$N$5,0))*$O15*INDEX(Act_Type_Repex_Splits,MATCH($I15,Act_Type_Repex,0),MATCH(BH$4,Mat_Type,0))*INDEX(Escalators!$I$44:$U$49,MATCH(BH$4,Escalators!$C$44:$C$49,0),MATCH(BH$5,Escalators!$I$43:$U$43,0))</f>
        <v>0</v>
      </c>
      <c r="BI15" s="47">
        <f>INDEX(Lab_Mat!$K$6:$N$9,MATCH($H15,Lab_Mat!$J$6:$J$9,0),MATCH($BK$4,Lab_Mat!$K$5:$N$5,0))*$O15*INDEX(Act_Type_Repex_Splits,MATCH($I15,Act_Type_Repex,0),MATCH(BI$4,Mat_Type,0))*INDEX(Escalators!$I$44:$U$49,MATCH(BI$4,Escalators!$C$44:$C$49,0),MATCH(BI$5,Escalators!$I$43:$U$43,0))</f>
        <v>0</v>
      </c>
      <c r="BJ15" s="47">
        <f>INDEX(Lab_Mat!$K$6:$N$9,MATCH($H15,Lab_Mat!$J$6:$J$9,0),MATCH($BK$4,Lab_Mat!$K$5:$N$5,0))*$O15*INDEX(Act_Type_Repex_Splits,MATCH($I15,Act_Type_Repex,0),MATCH(BJ$4,Mat_Type,0))*INDEX(Escalators!$I$44:$U$49,MATCH(BJ$4,Escalators!$C$44:$C$49,0),MATCH(BJ$5,Escalators!$I$43:$U$43,0))</f>
        <v>0</v>
      </c>
      <c r="BK15" s="47">
        <f t="shared" ref="BK15:BK21" si="37">SUM(BF15:BJ15)</f>
        <v>0</v>
      </c>
      <c r="BL15" s="47">
        <f>INDEX(Lab_Mat!$K$6:$N$9,MATCH($H15,Lab_Mat!$J$6:$J$9,0),MATCH($BQ$4,Lab_Mat!$K$5:$N$5,0))*$P15*INDEX(Act_Type_Repex_Splits,MATCH($I15,Act_Type_Repex,0),MATCH(BL$4,Mat_Type,0))*INDEX(Escalators!$I$44:$U$49,MATCH(BL$4,Escalators!$C$44:$C$49,0),MATCH(BL$5,Escalators!$I$43:$U$43,0))</f>
        <v>0</v>
      </c>
      <c r="BM15" s="47">
        <f>INDEX(Lab_Mat!$K$6:$N$9,MATCH($H15,Lab_Mat!$J$6:$J$9,0),MATCH($BQ$4,Lab_Mat!$K$5:$N$5,0))*$P15*INDEX(Act_Type_Repex_Splits,MATCH($I15,Act_Type_Repex,0),MATCH(BM$4,Mat_Type,0))*INDEX(Escalators!$I$44:$U$49,MATCH(BM$4,Escalators!$C$44:$C$49,0),MATCH(BM$5,Escalators!$I$43:$U$43,0))</f>
        <v>0</v>
      </c>
      <c r="BN15" s="47">
        <f>INDEX(Lab_Mat!$K$6:$N$9,MATCH($H15,Lab_Mat!$J$6:$J$9,0),MATCH($BQ$4,Lab_Mat!$K$5:$N$5,0))*$P15*INDEX(Act_Type_Repex_Splits,MATCH($I15,Act_Type_Repex,0),MATCH(BN$4,Mat_Type,0))*INDEX(Escalators!$I$44:$U$49,MATCH(BN$4,Escalators!$C$44:$C$49,0),MATCH(BN$5,Escalators!$I$43:$U$43,0))</f>
        <v>0</v>
      </c>
      <c r="BO15" s="47">
        <f>INDEX(Lab_Mat!$K$6:$N$9,MATCH($H15,Lab_Mat!$J$6:$J$9,0),MATCH($BQ$4,Lab_Mat!$K$5:$N$5,0))*$P15*INDEX(Act_Type_Repex_Splits,MATCH($I15,Act_Type_Repex,0),MATCH(BO$4,Mat_Type,0))*INDEX(Escalators!$I$44:$U$49,MATCH(BO$4,Escalators!$C$44:$C$49,0),MATCH(BO$5,Escalators!$I$43:$U$43,0))</f>
        <v>0</v>
      </c>
      <c r="BP15" s="47">
        <f>INDEX(Lab_Mat!$K$6:$N$9,MATCH($H15,Lab_Mat!$J$6:$J$9,0),MATCH($BQ$4,Lab_Mat!$K$5:$N$5,0))*$P15*INDEX(Act_Type_Repex_Splits,MATCH($I15,Act_Type_Repex,0),MATCH(BP$4,Mat_Type,0))*INDEX(Escalators!$I$44:$U$49,MATCH(BP$4,Escalators!$C$44:$C$49,0),MATCH(BP$5,Escalators!$I$43:$U$43,0))</f>
        <v>0</v>
      </c>
      <c r="BQ15" s="47">
        <f t="shared" ref="BQ15:BQ21" si="38">SUM(BL15:BP15)</f>
        <v>0</v>
      </c>
      <c r="BR15" s="47">
        <f>INDEX(Lab_Mat!$K$6:$N$9,MATCH($H15,Lab_Mat!$J$6:$J$9,0),MATCH($BW$4,Lab_Mat!$K$5:$N$5,0))*$Q15*INDEX(Act_Type_Repex_Splits,MATCH($I15,Act_Type_Repex,0),MATCH(BR$4,Mat_Type,0))*INDEX(Escalators!$I$44:$U$49,MATCH(BR$4,Escalators!$C$44:$C$49,0),MATCH(BR$5,Escalators!$I$43:$U$43,0))</f>
        <v>0</v>
      </c>
      <c r="BS15" s="47">
        <f>INDEX(Lab_Mat!$K$6:$N$9,MATCH($H15,Lab_Mat!$J$6:$J$9,0),MATCH($BW$4,Lab_Mat!$K$5:$N$5,0))*$Q15*INDEX(Act_Type_Repex_Splits,MATCH($I15,Act_Type_Repex,0),MATCH(BS$4,Mat_Type,0))*INDEX(Escalators!$I$44:$U$49,MATCH(BS$4,Escalators!$C$44:$C$49,0),MATCH(BS$5,Escalators!$I$43:$U$43,0))</f>
        <v>0</v>
      </c>
      <c r="BT15" s="47">
        <f>INDEX(Lab_Mat!$K$6:$N$9,MATCH($H15,Lab_Mat!$J$6:$J$9,0),MATCH($BW$4,Lab_Mat!$K$5:$N$5,0))*$Q15*INDEX(Act_Type_Repex_Splits,MATCH($I15,Act_Type_Repex,0),MATCH(BT$4,Mat_Type,0))*INDEX(Escalators!$I$44:$U$49,MATCH(BT$4,Escalators!$C$44:$C$49,0),MATCH(BT$5,Escalators!$I$43:$U$43,0))</f>
        <v>0</v>
      </c>
      <c r="BU15" s="47">
        <f>INDEX(Lab_Mat!$K$6:$N$9,MATCH($H15,Lab_Mat!$J$6:$J$9,0),MATCH($BW$4,Lab_Mat!$K$5:$N$5,0))*$Q15*INDEX(Act_Type_Repex_Splits,MATCH($I15,Act_Type_Repex,0),MATCH(BU$4,Mat_Type,0))*INDEX(Escalators!$I$44:$U$49,MATCH(BU$4,Escalators!$C$44:$C$49,0),MATCH(BU$5,Escalators!$I$43:$U$43,0))</f>
        <v>0</v>
      </c>
      <c r="BV15" s="47">
        <f>INDEX(Lab_Mat!$K$6:$N$9,MATCH($H15,Lab_Mat!$J$6:$J$9,0),MATCH($BW$4,Lab_Mat!$K$5:$N$5,0))*$Q15*INDEX(Act_Type_Repex_Splits,MATCH($I15,Act_Type_Repex,0),MATCH(BV$4,Mat_Type,0))*INDEX(Escalators!$I$44:$U$49,MATCH(BV$4,Escalators!$C$44:$C$49,0),MATCH(BV$5,Escalators!$I$43:$U$43,0))</f>
        <v>0</v>
      </c>
      <c r="BW15" s="47">
        <f t="shared" ref="BW15:BW21" si="39">SUM(BR15:BV15)</f>
        <v>0</v>
      </c>
      <c r="BY15" s="47">
        <f>INDEX(Lab_Mat!$K$6:$N$9,MATCH($H15,Lab_Mat!$J$6:$J$9,0),MATCH($BY$4,Lab_Mat!$K$5:$N$5,0))*J15*HLOOKUP(BY$5,Escalators!$I$25:$U$30,6,FALSE)</f>
        <v>0</v>
      </c>
      <c r="BZ15" s="47">
        <f>INDEX(Lab_Mat!$K$6:$N$9,MATCH($H15,Lab_Mat!$J$6:$J$9,0),MATCH($BY$4,Lab_Mat!$K$5:$N$5,0))*K15*HLOOKUP(BZ$5,Escalators!$I$25:$U$30,6,FALSE)</f>
        <v>0</v>
      </c>
      <c r="CA15" s="47">
        <f>INDEX(Lab_Mat!$K$6:$N$9,MATCH($H15,Lab_Mat!$J$6:$J$9,0),MATCH($BY$4,Lab_Mat!$K$5:$N$5,0))*L15*HLOOKUP(CA$5,Escalators!$I$25:$U$30,6,FALSE)</f>
        <v>0</v>
      </c>
      <c r="CB15" s="47">
        <f>INDEX(Lab_Mat!$K$6:$N$9,MATCH($H15,Lab_Mat!$J$6:$J$9,0),MATCH($BY$4,Lab_Mat!$K$5:$N$5,0))*M15*HLOOKUP(CB$5,Escalators!$I$25:$U$30,6,FALSE)</f>
        <v>479.06955096626541</v>
      </c>
      <c r="CC15" s="47">
        <f>INDEX(Lab_Mat!$K$6:$N$9,MATCH($H15,Lab_Mat!$J$6:$J$9,0),MATCH($BY$4,Lab_Mat!$K$5:$N$5,0))*N15*HLOOKUP(CC$5,Escalators!$I$25:$U$30,6,FALSE)</f>
        <v>206.9542268404804</v>
      </c>
      <c r="CD15" s="47">
        <f>INDEX(Lab_Mat!$K$6:$N$9,MATCH($H15,Lab_Mat!$J$6:$J$9,0),MATCH($BY$4,Lab_Mat!$K$5:$N$5,0))*O15*HLOOKUP(CD$5,Escalators!$I$25:$U$30,6,FALSE)</f>
        <v>0</v>
      </c>
      <c r="CE15" s="47">
        <f>INDEX(Lab_Mat!$K$6:$N$9,MATCH($H15,Lab_Mat!$J$6:$J$9,0),MATCH($BY$4,Lab_Mat!$K$5:$N$5,0))*P15*HLOOKUP(CE$5,Escalators!$I$25:$U$30,6,FALSE)</f>
        <v>0</v>
      </c>
      <c r="CF15" s="47">
        <f>INDEX(Lab_Mat!$K$6:$N$9,MATCH($H15,Lab_Mat!$J$6:$J$9,0),MATCH($BY$4,Lab_Mat!$K$5:$N$5,0))*Q15*HLOOKUP(CF$5,Escalators!$I$25:$U$30,6,FALSE)</f>
        <v>0</v>
      </c>
      <c r="CH15" s="47">
        <f>INDEX(Lab_Mat!$K$6:$N$9,MATCH($H15,Lab_Mat!$J$6:$J$9,0),MATCH($CH$4,Lab_Mat!$K$5:$N$5,0))*J15</f>
        <v>0</v>
      </c>
      <c r="CI15" s="47">
        <f>INDEX(Lab_Mat!$K$6:$N$9,MATCH($H15,Lab_Mat!$J$6:$J$9,0),MATCH($CH$4,Lab_Mat!$K$5:$N$5,0))*K15</f>
        <v>0</v>
      </c>
      <c r="CJ15" s="47">
        <f>INDEX(Lab_Mat!$K$6:$N$9,MATCH($H15,Lab_Mat!$J$6:$J$9,0),MATCH($CH$4,Lab_Mat!$K$5:$N$5,0))*L15</f>
        <v>0</v>
      </c>
      <c r="CK15" s="47">
        <f>INDEX(Lab_Mat!$K$6:$N$9,MATCH($H15,Lab_Mat!$J$6:$J$9,0),MATCH($CH$4,Lab_Mat!$K$5:$N$5,0))*M15</f>
        <v>184.45262728480037</v>
      </c>
      <c r="CL15" s="47">
        <f>INDEX(Lab_Mat!$K$6:$N$9,MATCH($H15,Lab_Mat!$J$6:$J$9,0),MATCH($CH$4,Lab_Mat!$K$5:$N$5,0))*N15</f>
        <v>78.872816621610113</v>
      </c>
      <c r="CM15" s="47">
        <f>INDEX(Lab_Mat!$K$6:$N$9,MATCH($H15,Lab_Mat!$J$6:$J$9,0),MATCH($CH$4,Lab_Mat!$K$5:$N$5,0))*O15</f>
        <v>0</v>
      </c>
      <c r="CN15" s="47">
        <f>INDEX(Lab_Mat!$K$6:$N$9,MATCH($H15,Lab_Mat!$J$6:$J$9,0),MATCH($CH$4,Lab_Mat!$K$5:$N$5,0))*P15</f>
        <v>0</v>
      </c>
      <c r="CO15" s="47">
        <f>INDEX(Lab_Mat!$K$6:$N$9,MATCH($H15,Lab_Mat!$J$6:$J$9,0),MATCH($CH$4,Lab_Mat!$K$5:$N$5,0))*Q15</f>
        <v>0</v>
      </c>
      <c r="CQ15" s="47">
        <f t="shared" si="24"/>
        <v>0</v>
      </c>
      <c r="CR15" s="47">
        <f t="shared" si="25"/>
        <v>0</v>
      </c>
      <c r="CS15" s="47">
        <f t="shared" si="26"/>
        <v>0</v>
      </c>
      <c r="CT15" s="47">
        <f t="shared" si="27"/>
        <v>2389.1055369668916</v>
      </c>
      <c r="CU15" s="47">
        <f t="shared" si="28"/>
        <v>1025.6612184783096</v>
      </c>
      <c r="CV15" s="47">
        <f t="shared" si="29"/>
        <v>0</v>
      </c>
      <c r="CW15" s="47">
        <f t="shared" si="30"/>
        <v>0</v>
      </c>
      <c r="CX15" s="47">
        <f t="shared" si="31"/>
        <v>0</v>
      </c>
      <c r="CY15" s="57"/>
    </row>
    <row r="16" spans="2:109" x14ac:dyDescent="0.3">
      <c r="B16" s="7"/>
      <c r="C16" s="7" t="s">
        <v>412</v>
      </c>
      <c r="D16" s="7" t="s">
        <v>693</v>
      </c>
      <c r="E16" s="7" t="s">
        <v>45</v>
      </c>
      <c r="F16" s="7" t="s">
        <v>55</v>
      </c>
      <c r="G16" s="7" t="s">
        <v>10</v>
      </c>
      <c r="H16" s="7" t="s">
        <v>560</v>
      </c>
      <c r="I16" s="7" t="s">
        <v>186</v>
      </c>
      <c r="J16" s="45"/>
      <c r="K16" s="45"/>
      <c r="L16" s="45"/>
      <c r="M16" s="45">
        <v>1487.9347865858472</v>
      </c>
      <c r="N16" s="45">
        <v>636.2479585942491</v>
      </c>
      <c r="O16" s="45">
        <v>0</v>
      </c>
      <c r="P16" s="45"/>
      <c r="Q16" s="45"/>
      <c r="S16" s="47">
        <f>INDEX(Lab_Mat!$K$6:$N$9,MATCH($H16,Lab_Mat!$J$6:$J$9,0),MATCH($S$4,Lab_Mat!$K$5:$N$5,0))*J16*HLOOKUP(S$5,Escalators!$I$25:$U$30,3,FALSE)</f>
        <v>0</v>
      </c>
      <c r="T16" s="47">
        <f>INDEX(Lab_Mat!$K$6:$N$9,MATCH($H16,Lab_Mat!$J$6:$J$9,0),MATCH($S$4,Lab_Mat!$K$5:$N$5,0))*K16*HLOOKUP(T$5,Escalators!$I$25:$U$30,3,FALSE)</f>
        <v>0</v>
      </c>
      <c r="U16" s="47">
        <f>INDEX(Lab_Mat!$K$6:$N$9,MATCH($H16,Lab_Mat!$J$6:$J$9,0),MATCH($S$4,Lab_Mat!$K$5:$N$5,0))*L16*HLOOKUP(U$5,Escalators!$I$25:$U$30,3,FALSE)</f>
        <v>0</v>
      </c>
      <c r="V16" s="47">
        <f>INDEX(Lab_Mat!$K$6:$N$9,MATCH($H16,Lab_Mat!$J$6:$J$9,0),MATCH($S$4,Lab_Mat!$K$5:$N$5,0))*M16*HLOOKUP(V$5,Escalators!$I$25:$U$30,3,FALSE)</f>
        <v>245.40964526643708</v>
      </c>
      <c r="W16" s="47">
        <f>INDEX(Lab_Mat!$K$6:$N$9,MATCH($H16,Lab_Mat!$J$6:$J$9,0),MATCH($S$4,Lab_Mat!$K$5:$N$5,0))*N16*HLOOKUP(W$5,Escalators!$I$25:$U$30,3,FALSE)</f>
        <v>106.01501033174289</v>
      </c>
      <c r="X16" s="47">
        <f>INDEX(Lab_Mat!$K$6:$N$9,MATCH($H16,Lab_Mat!$J$6:$J$9,0),MATCH($S$4,Lab_Mat!$K$5:$N$5,0))*O16*HLOOKUP(X$5,Escalators!$I$25:$U$30,3,FALSE)</f>
        <v>0</v>
      </c>
      <c r="Y16" s="47">
        <f>INDEX(Lab_Mat!$K$6:$N$9,MATCH($H16,Lab_Mat!$J$6:$J$9,0),MATCH($S$4,Lab_Mat!$K$5:$N$5,0))*P16*HLOOKUP(Y$5,Escalators!$I$25:$U$30,3,FALSE)</f>
        <v>0</v>
      </c>
      <c r="Z16" s="47">
        <f>INDEX(Lab_Mat!$K$6:$N$9,MATCH($H16,Lab_Mat!$J$6:$J$9,0),MATCH($S$4,Lab_Mat!$K$5:$N$5,0))*Q16*HLOOKUP(Z$5,Escalators!$I$25:$U$30,3,FALSE)</f>
        <v>0</v>
      </c>
      <c r="AB16" s="47">
        <f>INDEX(Lab_Mat!$K$6:$N$9,MATCH($H16,Lab_Mat!$J$6:$J$9,0),MATCH($AG$4,Lab_Mat!$K$5:$N$5,0))*$J16*INDEX(Act_Type_Repex_Splits,MATCH($I16,Act_Type_Repex,0),MATCH(AB$4,Mat_Type,0))*INDEX(Escalators!$I$44:$Q$49,MATCH(AB$4,Escalators!$C$44:$C$49,0),MATCH(AB$5,Escalators!$I$43:$Q$43,0))</f>
        <v>0</v>
      </c>
      <c r="AC16" s="47">
        <f>INDEX(Lab_Mat!$K$6:$N$9,MATCH($H16,Lab_Mat!$J$6:$J$9,0),MATCH($AG$4,Lab_Mat!$K$5:$N$5,0))*$J16*INDEX(Act_Type_Repex_Splits,MATCH($I16,Act_Type_Repex,0),MATCH(AC$4,Mat_Type,0))*INDEX(Escalators!$I$44:$Q$49,MATCH(AC$4,Escalators!$C$44:$C$49,0),MATCH(AC$5,Escalators!$I$43:$Q$43,0))</f>
        <v>0</v>
      </c>
      <c r="AD16" s="47">
        <f>INDEX(Lab_Mat!$K$6:$N$9,MATCH($H16,Lab_Mat!$J$6:$J$9,0),MATCH($AG$4,Lab_Mat!$K$5:$N$5,0))*$J16*INDEX(Act_Type_Repex_Splits,MATCH($I16,Act_Type_Repex,0),MATCH(AD$4,Mat_Type,0))*INDEX(Escalators!$I$44:$Q$49,MATCH(AD$4,Escalators!$C$44:$C$49,0),MATCH(AD$5,Escalators!$I$43:$Q$43,0))</f>
        <v>0</v>
      </c>
      <c r="AE16" s="47">
        <f>INDEX(Lab_Mat!$K$6:$N$9,MATCH($H16,Lab_Mat!$J$6:$J$9,0),MATCH($AG$4,Lab_Mat!$K$5:$N$5,0))*$J16*INDEX(Act_Type_Repex_Splits,MATCH($I16,Act_Type_Repex,0),MATCH(AE$4,Mat_Type,0))*INDEX(Escalators!$I$44:$Q$49,MATCH(AE$4,Escalators!$C$44:$C$49,0),MATCH(AE$5,Escalators!$I$43:$Q$43,0))</f>
        <v>0</v>
      </c>
      <c r="AF16" s="47">
        <f>INDEX(Lab_Mat!$K$6:$N$9,MATCH($H16,Lab_Mat!$J$6:$J$9,0),MATCH($AG$4,Lab_Mat!$K$5:$N$5,0))*$J16*INDEX(Act_Type_Repex_Splits,MATCH($I16,Act_Type_Repex,0),MATCH(AF$4,Mat_Type,0))*INDEX(Escalators!$I$44:$Q$49,MATCH(AF$4,Escalators!$C$44:$C$49,0),MATCH(AF$5,Escalators!$I$43:$Q$43,0))</f>
        <v>0</v>
      </c>
      <c r="AG16" s="47">
        <f t="shared" si="32"/>
        <v>0</v>
      </c>
      <c r="AH16" s="47">
        <f>INDEX(Lab_Mat!$K$6:$N$9,MATCH($H16,Lab_Mat!$J$6:$J$9,0),MATCH($AY$4,Lab_Mat!$K$5:$N$5,0))*$K16*INDEX(Act_Type_Repex_Splits,MATCH($I16,Act_Type_Repex,0),MATCH(AH$4,Mat_Type,0))*INDEX(Escalators!$I$44:$U$49,MATCH(AH$4,Escalators!$C$44:$C$49,0),MATCH(AH$5,Escalators!$I$43:$U$43,0))</f>
        <v>0</v>
      </c>
      <c r="AI16" s="47">
        <f>INDEX(Lab_Mat!$K$6:$N$9,MATCH($H16,Lab_Mat!$J$6:$J$9,0),MATCH($AY$4,Lab_Mat!$K$5:$N$5,0))*$K16*INDEX(Act_Type_Repex_Splits,MATCH($I16,Act_Type_Repex,0),MATCH(AI$4,Mat_Type,0))*INDEX(Escalators!$I$44:$U$49,MATCH(AI$4,Escalators!$C$44:$C$49,0),MATCH(AI$5,Escalators!$I$43:$U$43,0))</f>
        <v>0</v>
      </c>
      <c r="AJ16" s="47">
        <f>INDEX(Lab_Mat!$K$6:$N$9,MATCH($H16,Lab_Mat!$J$6:$J$9,0),MATCH($AY$4,Lab_Mat!$K$5:$N$5,0))*$K16*INDEX(Act_Type_Repex_Splits,MATCH($I16,Act_Type_Repex,0),MATCH(AJ$4,Mat_Type,0))*INDEX(Escalators!$I$44:$U$49,MATCH(AJ$4,Escalators!$C$44:$C$49,0),MATCH(AJ$5,Escalators!$I$43:$U$43,0))</f>
        <v>0</v>
      </c>
      <c r="AK16" s="47">
        <f>INDEX(Lab_Mat!$K$6:$N$9,MATCH($H16,Lab_Mat!$J$6:$J$9,0),MATCH($AY$4,Lab_Mat!$K$5:$N$5,0))*$K16*INDEX(Act_Type_Repex_Splits,MATCH($I16,Act_Type_Repex,0),MATCH(AK$4,Mat_Type,0))*INDEX(Escalators!$I$44:$U$49,MATCH(AK$4,Escalators!$C$44:$C$49,0),MATCH(AK$5,Escalators!$I$43:$U$43,0))</f>
        <v>0</v>
      </c>
      <c r="AL16" s="47">
        <f>INDEX(Lab_Mat!$K$6:$N$9,MATCH($H16,Lab_Mat!$J$6:$J$9,0),MATCH($AY$4,Lab_Mat!$K$5:$N$5,0))*$K16*INDEX(Act_Type_Repex_Splits,MATCH($I16,Act_Type_Repex,0),MATCH(AL$4,Mat_Type,0))*INDEX(Escalators!$I$44:$U$49,MATCH(AL$4,Escalators!$C$44:$C$49,0),MATCH(AL$5,Escalators!$I$43:$U$43,0))</f>
        <v>0</v>
      </c>
      <c r="AM16" s="47">
        <f t="shared" si="33"/>
        <v>0</v>
      </c>
      <c r="AN16" s="47">
        <f>INDEX(Lab_Mat!$K$6:$N$9,MATCH($H16,Lab_Mat!$J$6:$J$9,0),MATCH($AY$4,Lab_Mat!$K$5:$N$5,0))*$L16*INDEX(Act_Type_Repex_Splits,MATCH($I16,Act_Type_Repex,0),MATCH(AN$4,Mat_Type,0))*INDEX(Escalators!$I$44:$U$49,MATCH(AN$4,Escalators!$C$44:$C$49,0),MATCH(AN$5,Escalators!$I$43:$U$43,0))</f>
        <v>0</v>
      </c>
      <c r="AO16" s="47">
        <f>INDEX(Lab_Mat!$K$6:$N$9,MATCH($H16,Lab_Mat!$J$6:$J$9,0),MATCH($AY$4,Lab_Mat!$K$5:$N$5,0))*$L16*INDEX(Act_Type_Repex_Splits,MATCH($I16,Act_Type_Repex,0),MATCH(AO$4,Mat_Type,0))*INDEX(Escalators!$I$44:$U$49,MATCH(AO$4,Escalators!$C$44:$C$49,0),MATCH(AO$5,Escalators!$I$43:$U$43,0))</f>
        <v>0</v>
      </c>
      <c r="AP16" s="47">
        <f>INDEX(Lab_Mat!$K$6:$N$9,MATCH($H16,Lab_Mat!$J$6:$J$9,0),MATCH($AY$4,Lab_Mat!$K$5:$N$5,0))*$L16*INDEX(Act_Type_Repex_Splits,MATCH($I16,Act_Type_Repex,0),MATCH(AP$4,Mat_Type,0))*INDEX(Escalators!$I$44:$U$49,MATCH(AP$4,Escalators!$C$44:$C$49,0),MATCH(AP$5,Escalators!$I$43:$U$43,0))</f>
        <v>0</v>
      </c>
      <c r="AQ16" s="47">
        <f>INDEX(Lab_Mat!$K$6:$N$9,MATCH($H16,Lab_Mat!$J$6:$J$9,0),MATCH($AY$4,Lab_Mat!$K$5:$N$5,0))*$L16*INDEX(Act_Type_Repex_Splits,MATCH($I16,Act_Type_Repex,0),MATCH(AQ$4,Mat_Type,0))*INDEX(Escalators!$I$44:$U$49,MATCH(AQ$4,Escalators!$C$44:$C$49,0),MATCH(AQ$5,Escalators!$I$43:$U$43,0))</f>
        <v>0</v>
      </c>
      <c r="AR16" s="47">
        <f>INDEX(Lab_Mat!$K$6:$N$9,MATCH($H16,Lab_Mat!$J$6:$J$9,0),MATCH($AY$4,Lab_Mat!$K$5:$N$5,0))*$L16*INDEX(Act_Type_Repex_Splits,MATCH($I16,Act_Type_Repex,0),MATCH(AR$4,Mat_Type,0))*INDEX(Escalators!$I$44:$U$49,MATCH(AR$4,Escalators!$C$44:$C$49,0),MATCH(AR$5,Escalators!$I$43:$U$43,0))</f>
        <v>0</v>
      </c>
      <c r="AS16" s="47">
        <f t="shared" si="34"/>
        <v>0</v>
      </c>
      <c r="AT16" s="47">
        <f>INDEX(Lab_Mat!$K$6:$N$9,MATCH($H16,Lab_Mat!$J$6:$J$9,0),MATCH($AY$4,Lab_Mat!$K$5:$N$5,0))*$M16*INDEX(Act_Type_Repex_Splits,MATCH($I16,Act_Type_Repex,0),MATCH(AT$4,Mat_Type,0))*INDEX(Escalators!$I$44:$U$49,MATCH(AT$4,Escalators!$C$44:$C$49,0),MATCH(AT$5,Escalators!$I$43:$U$43,0))</f>
        <v>0</v>
      </c>
      <c r="AU16" s="47">
        <f>INDEX(Lab_Mat!$K$6:$N$9,MATCH($H16,Lab_Mat!$J$6:$J$9,0),MATCH($AY$4,Lab_Mat!$K$5:$N$5,0))*$M16*INDEX(Act_Type_Repex_Splits,MATCH($I16,Act_Type_Repex,0),MATCH(AU$4,Mat_Type,0))*INDEX(Escalators!$I$44:$U$49,MATCH(AU$4,Escalators!$C$44:$C$49,0),MATCH(AU$5,Escalators!$I$43:$U$43,0))</f>
        <v>148.68110940951649</v>
      </c>
      <c r="AV16" s="47">
        <f>INDEX(Lab_Mat!$K$6:$N$9,MATCH($H16,Lab_Mat!$J$6:$J$9,0),MATCH($AY$4,Lab_Mat!$K$5:$N$5,0))*$M16*INDEX(Act_Type_Repex_Splits,MATCH($I16,Act_Type_Repex,0),MATCH(AV$4,Mat_Type,0))*INDEX(Escalators!$I$44:$U$49,MATCH(AV$4,Escalators!$C$44:$C$49,0),MATCH(AV$5,Escalators!$I$43:$U$43,0))</f>
        <v>297.36221881903299</v>
      </c>
      <c r="AW16" s="47">
        <f>INDEX(Lab_Mat!$K$6:$N$9,MATCH($H16,Lab_Mat!$J$6:$J$9,0),MATCH($AY$4,Lab_Mat!$K$5:$N$5,0))*$M16*INDEX(Act_Type_Repex_Splits,MATCH($I16,Act_Type_Repex,0),MATCH(AW$4,Mat_Type,0))*INDEX(Escalators!$I$44:$U$49,MATCH(AW$4,Escalators!$C$44:$C$49,0),MATCH(AW$5,Escalators!$I$43:$U$43,0))</f>
        <v>49.560369803172172</v>
      </c>
      <c r="AX16" s="47">
        <f>INDEX(Lab_Mat!$K$6:$N$9,MATCH($H16,Lab_Mat!$J$6:$J$9,0),MATCH($AY$4,Lab_Mat!$K$5:$N$5,0))*$M16*INDEX(Act_Type_Repex_Splits,MATCH($I16,Act_Type_Repex,0),MATCH(AX$4,Mat_Type,0))*INDEX(Escalators!$I$44:$U$49,MATCH(AX$4,Escalators!$C$44:$C$49,0),MATCH(AX$5,Escalators!$I$43:$U$43,0))</f>
        <v>0</v>
      </c>
      <c r="AY16" s="47">
        <f t="shared" si="35"/>
        <v>495.60369803172171</v>
      </c>
      <c r="AZ16" s="47">
        <f>INDEX(Lab_Mat!$K$6:$N$9,MATCH($H16,Lab_Mat!$J$6:$J$9,0),MATCH($BE$4,Lab_Mat!$K$5:$N$5,0))*$N16*INDEX(Act_Type_Repex_Splits,MATCH($I16,Act_Type_Repex,0),MATCH(AZ$4,Mat_Type,0))*INDEX(Escalators!$I$44:$U$49,MATCH(AZ$4,Escalators!$C$44:$C$49,0),MATCH(AZ$5,Escalators!$I$43:$U$43,0))</f>
        <v>0</v>
      </c>
      <c r="BA16" s="47">
        <f>INDEX(Lab_Mat!$K$6:$N$9,MATCH($H16,Lab_Mat!$J$6:$J$9,0),MATCH($BE$4,Lab_Mat!$K$5:$N$5,0))*$N16*INDEX(Act_Type_Repex_Splits,MATCH($I16,Act_Type_Repex,0),MATCH(BA$4,Mat_Type,0))*INDEX(Escalators!$I$44:$U$49,MATCH(BA$4,Escalators!$C$44:$C$49,0),MATCH(BA$5,Escalators!$I$43:$U$43,0))</f>
        <v>63.576746236569825</v>
      </c>
      <c r="BB16" s="47">
        <f>INDEX(Lab_Mat!$K$6:$N$9,MATCH($H16,Lab_Mat!$J$6:$J$9,0),MATCH($BE$4,Lab_Mat!$K$5:$N$5,0))*$N16*INDEX(Act_Type_Repex_Splits,MATCH($I16,Act_Type_Repex,0),MATCH(BB$4,Mat_Type,0))*INDEX(Escalators!$I$44:$U$49,MATCH(BB$4,Escalators!$C$44:$C$49,0),MATCH(BB$5,Escalators!$I$43:$U$43,0))</f>
        <v>127.15349247313965</v>
      </c>
      <c r="BC16" s="47">
        <f>INDEX(Lab_Mat!$K$6:$N$9,MATCH($H16,Lab_Mat!$J$6:$J$9,0),MATCH($BE$4,Lab_Mat!$K$5:$N$5,0))*$N16*INDEX(Act_Type_Repex_Splits,MATCH($I16,Act_Type_Repex,0),MATCH(BC$4,Mat_Type,0))*INDEX(Escalators!$I$44:$U$49,MATCH(BC$4,Escalators!$C$44:$C$49,0),MATCH(BC$5,Escalators!$I$43:$U$43,0))</f>
        <v>21.192248745523276</v>
      </c>
      <c r="BD16" s="47">
        <f>INDEX(Lab_Mat!$K$6:$N$9,MATCH($H16,Lab_Mat!$J$6:$J$9,0),MATCH($BE$4,Lab_Mat!$K$5:$N$5,0))*$N16*INDEX(Act_Type_Repex_Splits,MATCH($I16,Act_Type_Repex,0),MATCH(BD$4,Mat_Type,0))*INDEX(Escalators!$I$44:$U$49,MATCH(BD$4,Escalators!$C$44:$C$49,0),MATCH(BD$5,Escalators!$I$43:$U$43,0))</f>
        <v>0</v>
      </c>
      <c r="BE16" s="47">
        <f t="shared" si="36"/>
        <v>211.92248745523275</v>
      </c>
      <c r="BF16" s="47">
        <f>INDEX(Lab_Mat!$K$6:$N$9,MATCH($H16,Lab_Mat!$J$6:$J$9,0),MATCH($BK$4,Lab_Mat!$K$5:$N$5,0))*$O16*INDEX(Act_Type_Repex_Splits,MATCH($I16,Act_Type_Repex,0),MATCH(BF$4,Mat_Type,0))*INDEX(Escalators!$I$44:$U$49,MATCH(BF$4,Escalators!$C$44:$C$49,0),MATCH(BF$5,Escalators!$I$43:$U$43,0))</f>
        <v>0</v>
      </c>
      <c r="BG16" s="47">
        <f>INDEX(Lab_Mat!$K$6:$N$9,MATCH($H16,Lab_Mat!$J$6:$J$9,0),MATCH($BK$4,Lab_Mat!$K$5:$N$5,0))*$O16*INDEX(Act_Type_Repex_Splits,MATCH($I16,Act_Type_Repex,0),MATCH(BG$4,Mat_Type,0))*INDEX(Escalators!$I$44:$U$49,MATCH(BG$4,Escalators!$C$44:$C$49,0),MATCH(BG$5,Escalators!$I$43:$U$43,0))</f>
        <v>0</v>
      </c>
      <c r="BH16" s="47">
        <f>INDEX(Lab_Mat!$K$6:$N$9,MATCH($H16,Lab_Mat!$J$6:$J$9,0),MATCH($BK$4,Lab_Mat!$K$5:$N$5,0))*$O16*INDEX(Act_Type_Repex_Splits,MATCH($I16,Act_Type_Repex,0),MATCH(BH$4,Mat_Type,0))*INDEX(Escalators!$I$44:$U$49,MATCH(BH$4,Escalators!$C$44:$C$49,0),MATCH(BH$5,Escalators!$I$43:$U$43,0))</f>
        <v>0</v>
      </c>
      <c r="BI16" s="47">
        <f>INDEX(Lab_Mat!$K$6:$N$9,MATCH($H16,Lab_Mat!$J$6:$J$9,0),MATCH($BK$4,Lab_Mat!$K$5:$N$5,0))*$O16*INDEX(Act_Type_Repex_Splits,MATCH($I16,Act_Type_Repex,0),MATCH(BI$4,Mat_Type,0))*INDEX(Escalators!$I$44:$U$49,MATCH(BI$4,Escalators!$C$44:$C$49,0),MATCH(BI$5,Escalators!$I$43:$U$43,0))</f>
        <v>0</v>
      </c>
      <c r="BJ16" s="47">
        <f>INDEX(Lab_Mat!$K$6:$N$9,MATCH($H16,Lab_Mat!$J$6:$J$9,0),MATCH($BK$4,Lab_Mat!$K$5:$N$5,0))*$O16*INDEX(Act_Type_Repex_Splits,MATCH($I16,Act_Type_Repex,0),MATCH(BJ$4,Mat_Type,0))*INDEX(Escalators!$I$44:$U$49,MATCH(BJ$4,Escalators!$C$44:$C$49,0),MATCH(BJ$5,Escalators!$I$43:$U$43,0))</f>
        <v>0</v>
      </c>
      <c r="BK16" s="47">
        <f t="shared" si="37"/>
        <v>0</v>
      </c>
      <c r="BL16" s="47">
        <f>INDEX(Lab_Mat!$K$6:$N$9,MATCH($H16,Lab_Mat!$J$6:$J$9,0),MATCH($BQ$4,Lab_Mat!$K$5:$N$5,0))*$P16*INDEX(Act_Type_Repex_Splits,MATCH($I16,Act_Type_Repex,0),MATCH(BL$4,Mat_Type,0))*INDEX(Escalators!$I$44:$U$49,MATCH(BL$4,Escalators!$C$44:$C$49,0),MATCH(BL$5,Escalators!$I$43:$U$43,0))</f>
        <v>0</v>
      </c>
      <c r="BM16" s="47">
        <f>INDEX(Lab_Mat!$K$6:$N$9,MATCH($H16,Lab_Mat!$J$6:$J$9,0),MATCH($BQ$4,Lab_Mat!$K$5:$N$5,0))*$P16*INDEX(Act_Type_Repex_Splits,MATCH($I16,Act_Type_Repex,0),MATCH(BM$4,Mat_Type,0))*INDEX(Escalators!$I$44:$U$49,MATCH(BM$4,Escalators!$C$44:$C$49,0),MATCH(BM$5,Escalators!$I$43:$U$43,0))</f>
        <v>0</v>
      </c>
      <c r="BN16" s="47">
        <f>INDEX(Lab_Mat!$K$6:$N$9,MATCH($H16,Lab_Mat!$J$6:$J$9,0),MATCH($BQ$4,Lab_Mat!$K$5:$N$5,0))*$P16*INDEX(Act_Type_Repex_Splits,MATCH($I16,Act_Type_Repex,0),MATCH(BN$4,Mat_Type,0))*INDEX(Escalators!$I$44:$U$49,MATCH(BN$4,Escalators!$C$44:$C$49,0),MATCH(BN$5,Escalators!$I$43:$U$43,0))</f>
        <v>0</v>
      </c>
      <c r="BO16" s="47">
        <f>INDEX(Lab_Mat!$K$6:$N$9,MATCH($H16,Lab_Mat!$J$6:$J$9,0),MATCH($BQ$4,Lab_Mat!$K$5:$N$5,0))*$P16*INDEX(Act_Type_Repex_Splits,MATCH($I16,Act_Type_Repex,0),MATCH(BO$4,Mat_Type,0))*INDEX(Escalators!$I$44:$U$49,MATCH(BO$4,Escalators!$C$44:$C$49,0),MATCH(BO$5,Escalators!$I$43:$U$43,0))</f>
        <v>0</v>
      </c>
      <c r="BP16" s="47">
        <f>INDEX(Lab_Mat!$K$6:$N$9,MATCH($H16,Lab_Mat!$J$6:$J$9,0),MATCH($BQ$4,Lab_Mat!$K$5:$N$5,0))*$P16*INDEX(Act_Type_Repex_Splits,MATCH($I16,Act_Type_Repex,0),MATCH(BP$4,Mat_Type,0))*INDEX(Escalators!$I$44:$U$49,MATCH(BP$4,Escalators!$C$44:$C$49,0),MATCH(BP$5,Escalators!$I$43:$U$43,0))</f>
        <v>0</v>
      </c>
      <c r="BQ16" s="47">
        <f t="shared" si="38"/>
        <v>0</v>
      </c>
      <c r="BR16" s="47">
        <f>INDEX(Lab_Mat!$K$6:$N$9,MATCH($H16,Lab_Mat!$J$6:$J$9,0),MATCH($BW$4,Lab_Mat!$K$5:$N$5,0))*$Q16*INDEX(Act_Type_Repex_Splits,MATCH($I16,Act_Type_Repex,0),MATCH(BR$4,Mat_Type,0))*INDEX(Escalators!$I$44:$U$49,MATCH(BR$4,Escalators!$C$44:$C$49,0),MATCH(BR$5,Escalators!$I$43:$U$43,0))</f>
        <v>0</v>
      </c>
      <c r="BS16" s="47">
        <f>INDEX(Lab_Mat!$K$6:$N$9,MATCH($H16,Lab_Mat!$J$6:$J$9,0),MATCH($BW$4,Lab_Mat!$K$5:$N$5,0))*$Q16*INDEX(Act_Type_Repex_Splits,MATCH($I16,Act_Type_Repex,0),MATCH(BS$4,Mat_Type,0))*INDEX(Escalators!$I$44:$U$49,MATCH(BS$4,Escalators!$C$44:$C$49,0),MATCH(BS$5,Escalators!$I$43:$U$43,0))</f>
        <v>0</v>
      </c>
      <c r="BT16" s="47">
        <f>INDEX(Lab_Mat!$K$6:$N$9,MATCH($H16,Lab_Mat!$J$6:$J$9,0),MATCH($BW$4,Lab_Mat!$K$5:$N$5,0))*$Q16*INDEX(Act_Type_Repex_Splits,MATCH($I16,Act_Type_Repex,0),MATCH(BT$4,Mat_Type,0))*INDEX(Escalators!$I$44:$U$49,MATCH(BT$4,Escalators!$C$44:$C$49,0),MATCH(BT$5,Escalators!$I$43:$U$43,0))</f>
        <v>0</v>
      </c>
      <c r="BU16" s="47">
        <f>INDEX(Lab_Mat!$K$6:$N$9,MATCH($H16,Lab_Mat!$J$6:$J$9,0),MATCH($BW$4,Lab_Mat!$K$5:$N$5,0))*$Q16*INDEX(Act_Type_Repex_Splits,MATCH($I16,Act_Type_Repex,0),MATCH(BU$4,Mat_Type,0))*INDEX(Escalators!$I$44:$U$49,MATCH(BU$4,Escalators!$C$44:$C$49,0),MATCH(BU$5,Escalators!$I$43:$U$43,0))</f>
        <v>0</v>
      </c>
      <c r="BV16" s="47">
        <f>INDEX(Lab_Mat!$K$6:$N$9,MATCH($H16,Lab_Mat!$J$6:$J$9,0),MATCH($BW$4,Lab_Mat!$K$5:$N$5,0))*$Q16*INDEX(Act_Type_Repex_Splits,MATCH($I16,Act_Type_Repex,0),MATCH(BV$4,Mat_Type,0))*INDEX(Escalators!$I$44:$U$49,MATCH(BV$4,Escalators!$C$44:$C$49,0),MATCH(BV$5,Escalators!$I$43:$U$43,0))</f>
        <v>0</v>
      </c>
      <c r="BW16" s="47">
        <f t="shared" si="39"/>
        <v>0</v>
      </c>
      <c r="BY16" s="47">
        <f>INDEX(Lab_Mat!$K$6:$N$9,MATCH($H16,Lab_Mat!$J$6:$J$9,0),MATCH($BY$4,Lab_Mat!$K$5:$N$5,0))*J16*HLOOKUP(BY$5,Escalators!$I$25:$U$30,6,FALSE)</f>
        <v>0</v>
      </c>
      <c r="BZ16" s="47">
        <f>INDEX(Lab_Mat!$K$6:$N$9,MATCH($H16,Lab_Mat!$J$6:$J$9,0),MATCH($BY$4,Lab_Mat!$K$5:$N$5,0))*K16*HLOOKUP(BZ$5,Escalators!$I$25:$U$30,6,FALSE)</f>
        <v>0</v>
      </c>
      <c r="CA16" s="47">
        <f>INDEX(Lab_Mat!$K$6:$N$9,MATCH($H16,Lab_Mat!$J$6:$J$9,0),MATCH($BY$4,Lab_Mat!$K$5:$N$5,0))*L16*HLOOKUP(CA$5,Escalators!$I$25:$U$30,6,FALSE)</f>
        <v>0</v>
      </c>
      <c r="CB16" s="47">
        <f>INDEX(Lab_Mat!$K$6:$N$9,MATCH($H16,Lab_Mat!$J$6:$J$9,0),MATCH($BY$4,Lab_Mat!$K$5:$N$5,0))*M16*HLOOKUP(CB$5,Escalators!$I$25:$U$30,6,FALSE)</f>
        <v>580.33431317516204</v>
      </c>
      <c r="CC16" s="47">
        <f>INDEX(Lab_Mat!$K$6:$N$9,MATCH($H16,Lab_Mat!$J$6:$J$9,0),MATCH($BY$4,Lab_Mat!$K$5:$N$5,0))*N16*HLOOKUP(CC$5,Escalators!$I$25:$U$30,6,FALSE)</f>
        <v>250.69979682474985</v>
      </c>
      <c r="CD16" s="47">
        <f>INDEX(Lab_Mat!$K$6:$N$9,MATCH($H16,Lab_Mat!$J$6:$J$9,0),MATCH($BY$4,Lab_Mat!$K$5:$N$5,0))*O16*HLOOKUP(CD$5,Escalators!$I$25:$U$30,6,FALSE)</f>
        <v>0</v>
      </c>
      <c r="CE16" s="47">
        <f>INDEX(Lab_Mat!$K$6:$N$9,MATCH($H16,Lab_Mat!$J$6:$J$9,0),MATCH($BY$4,Lab_Mat!$K$5:$N$5,0))*P16*HLOOKUP(CE$5,Escalators!$I$25:$U$30,6,FALSE)</f>
        <v>0</v>
      </c>
      <c r="CF16" s="47">
        <f>INDEX(Lab_Mat!$K$6:$N$9,MATCH($H16,Lab_Mat!$J$6:$J$9,0),MATCH($BY$4,Lab_Mat!$K$5:$N$5,0))*Q16*HLOOKUP(CF$5,Escalators!$I$25:$U$30,6,FALSE)</f>
        <v>0</v>
      </c>
      <c r="CH16" s="47">
        <f>INDEX(Lab_Mat!$K$6:$N$9,MATCH($H16,Lab_Mat!$J$6:$J$9,0),MATCH($CH$4,Lab_Mat!$K$5:$N$5,0))*J16</f>
        <v>0</v>
      </c>
      <c r="CI16" s="47">
        <f>INDEX(Lab_Mat!$K$6:$N$9,MATCH($H16,Lab_Mat!$J$6:$J$9,0),MATCH($CH$4,Lab_Mat!$K$5:$N$5,0))*K16</f>
        <v>0</v>
      </c>
      <c r="CJ16" s="47">
        <f>INDEX(Lab_Mat!$K$6:$N$9,MATCH($H16,Lab_Mat!$J$6:$J$9,0),MATCH($CH$4,Lab_Mat!$K$5:$N$5,0))*L16</f>
        <v>0</v>
      </c>
      <c r="CK16" s="47">
        <f>INDEX(Lab_Mat!$K$6:$N$9,MATCH($H16,Lab_Mat!$J$6:$J$9,0),MATCH($CH$4,Lab_Mat!$K$5:$N$5,0))*M16</f>
        <v>192.97802838886938</v>
      </c>
      <c r="CL16" s="47">
        <f>INDEX(Lab_Mat!$K$6:$N$9,MATCH($H16,Lab_Mat!$J$6:$J$9,0),MATCH($CH$4,Lab_Mat!$K$5:$N$5,0))*N16</f>
        <v>82.518318492768984</v>
      </c>
      <c r="CM16" s="47">
        <f>INDEX(Lab_Mat!$K$6:$N$9,MATCH($H16,Lab_Mat!$J$6:$J$9,0),MATCH($CH$4,Lab_Mat!$K$5:$N$5,0))*O16</f>
        <v>0</v>
      </c>
      <c r="CN16" s="47">
        <f>INDEX(Lab_Mat!$K$6:$N$9,MATCH($H16,Lab_Mat!$J$6:$J$9,0),MATCH($CH$4,Lab_Mat!$K$5:$N$5,0))*P16</f>
        <v>0</v>
      </c>
      <c r="CO16" s="47">
        <f>INDEX(Lab_Mat!$K$6:$N$9,MATCH($H16,Lab_Mat!$J$6:$J$9,0),MATCH($CH$4,Lab_Mat!$K$5:$N$5,0))*Q16</f>
        <v>0</v>
      </c>
      <c r="CQ16" s="47">
        <f t="shared" si="24"/>
        <v>0</v>
      </c>
      <c r="CR16" s="47">
        <f t="shared" si="25"/>
        <v>0</v>
      </c>
      <c r="CS16" s="47">
        <f t="shared" si="26"/>
        <v>0</v>
      </c>
      <c r="CT16" s="47">
        <f t="shared" si="27"/>
        <v>1514.3256848621904</v>
      </c>
      <c r="CU16" s="47">
        <f t="shared" si="28"/>
        <v>651.15561310449459</v>
      </c>
      <c r="CV16" s="47">
        <f t="shared" si="29"/>
        <v>0</v>
      </c>
      <c r="CW16" s="47">
        <f t="shared" si="30"/>
        <v>0</v>
      </c>
      <c r="CX16" s="47">
        <f t="shared" si="31"/>
        <v>0</v>
      </c>
      <c r="CY16" s="39"/>
      <c r="CZ16" s="39"/>
      <c r="DA16" s="39"/>
      <c r="DB16" s="39"/>
      <c r="DC16" s="39"/>
    </row>
    <row r="17" spans="2:109" x14ac:dyDescent="0.3">
      <c r="B17" s="7"/>
      <c r="C17" s="7" t="s">
        <v>413</v>
      </c>
      <c r="D17" s="7" t="s">
        <v>693</v>
      </c>
      <c r="E17" s="7" t="s">
        <v>45</v>
      </c>
      <c r="F17" s="7" t="s">
        <v>55</v>
      </c>
      <c r="G17" s="7" t="s">
        <v>150</v>
      </c>
      <c r="H17" s="7" t="s">
        <v>561</v>
      </c>
      <c r="I17" s="7" t="s">
        <v>203</v>
      </c>
      <c r="J17" s="45"/>
      <c r="K17" s="45"/>
      <c r="L17" s="45"/>
      <c r="M17" s="45">
        <v>2231.9021798787708</v>
      </c>
      <c r="N17" s="45">
        <v>954.37193789137359</v>
      </c>
      <c r="O17" s="45">
        <v>0</v>
      </c>
      <c r="P17" s="45"/>
      <c r="Q17" s="45"/>
      <c r="S17" s="47">
        <f>INDEX(Lab_Mat!$K$6:$N$9,MATCH($H17,Lab_Mat!$J$6:$J$9,0),MATCH($S$4,Lab_Mat!$K$5:$N$5,0))*J17*HLOOKUP(S$5,Escalators!$I$25:$U$30,3,FALSE)</f>
        <v>0</v>
      </c>
      <c r="T17" s="47">
        <f>INDEX(Lab_Mat!$K$6:$N$9,MATCH($H17,Lab_Mat!$J$6:$J$9,0),MATCH($S$4,Lab_Mat!$K$5:$N$5,0))*K17*HLOOKUP(T$5,Escalators!$I$25:$U$30,3,FALSE)</f>
        <v>0</v>
      </c>
      <c r="U17" s="47">
        <f>INDEX(Lab_Mat!$K$6:$N$9,MATCH($H17,Lab_Mat!$J$6:$J$9,0),MATCH($S$4,Lab_Mat!$K$5:$N$5,0))*L17*HLOOKUP(U$5,Escalators!$I$25:$U$30,3,FALSE)</f>
        <v>0</v>
      </c>
      <c r="V17" s="47">
        <f>INDEX(Lab_Mat!$K$6:$N$9,MATCH($H17,Lab_Mat!$J$6:$J$9,0),MATCH($S$4,Lab_Mat!$K$5:$N$5,0))*M17*HLOOKUP(V$5,Escalators!$I$25:$U$30,3,FALSE)</f>
        <v>402.82390785143252</v>
      </c>
      <c r="W17" s="47">
        <f>INDEX(Lab_Mat!$K$6:$N$9,MATCH($H17,Lab_Mat!$J$6:$J$9,0),MATCH($S$4,Lab_Mat!$K$5:$N$5,0))*N17*HLOOKUP(W$5,Escalators!$I$25:$U$30,3,FALSE)</f>
        <v>174.01671685062806</v>
      </c>
      <c r="X17" s="47">
        <f>INDEX(Lab_Mat!$K$6:$N$9,MATCH($H17,Lab_Mat!$J$6:$J$9,0),MATCH($S$4,Lab_Mat!$K$5:$N$5,0))*O17*HLOOKUP(X$5,Escalators!$I$25:$U$30,3,FALSE)</f>
        <v>0</v>
      </c>
      <c r="Y17" s="47">
        <f>INDEX(Lab_Mat!$K$6:$N$9,MATCH($H17,Lab_Mat!$J$6:$J$9,0),MATCH($S$4,Lab_Mat!$K$5:$N$5,0))*P17*HLOOKUP(Y$5,Escalators!$I$25:$U$30,3,FALSE)</f>
        <v>0</v>
      </c>
      <c r="Z17" s="47">
        <f>INDEX(Lab_Mat!$K$6:$N$9,MATCH($H17,Lab_Mat!$J$6:$J$9,0),MATCH($S$4,Lab_Mat!$K$5:$N$5,0))*Q17*HLOOKUP(Z$5,Escalators!$I$25:$U$30,3,FALSE)</f>
        <v>0</v>
      </c>
      <c r="AB17" s="47">
        <f>INDEX(Lab_Mat!$K$6:$N$9,MATCH($H17,Lab_Mat!$J$6:$J$9,0),MATCH($AG$4,Lab_Mat!$K$5:$N$5,0))*$J17*INDEX(Act_Type_Repex_Splits,MATCH($I17,Act_Type_Repex,0),MATCH(AB$4,Mat_Type,0))*INDEX(Escalators!$I$44:$Q$49,MATCH(AB$4,Escalators!$C$44:$C$49,0),MATCH(AB$5,Escalators!$I$43:$Q$43,0))</f>
        <v>0</v>
      </c>
      <c r="AC17" s="47">
        <f>INDEX(Lab_Mat!$K$6:$N$9,MATCH($H17,Lab_Mat!$J$6:$J$9,0),MATCH($AG$4,Lab_Mat!$K$5:$N$5,0))*$J17*INDEX(Act_Type_Repex_Splits,MATCH($I17,Act_Type_Repex,0),MATCH(AC$4,Mat_Type,0))*INDEX(Escalators!$I$44:$Q$49,MATCH(AC$4,Escalators!$C$44:$C$49,0),MATCH(AC$5,Escalators!$I$43:$Q$43,0))</f>
        <v>0</v>
      </c>
      <c r="AD17" s="47">
        <f>INDEX(Lab_Mat!$K$6:$N$9,MATCH($H17,Lab_Mat!$J$6:$J$9,0),MATCH($AG$4,Lab_Mat!$K$5:$N$5,0))*$J17*INDEX(Act_Type_Repex_Splits,MATCH($I17,Act_Type_Repex,0),MATCH(AD$4,Mat_Type,0))*INDEX(Escalators!$I$44:$Q$49,MATCH(AD$4,Escalators!$C$44:$C$49,0),MATCH(AD$5,Escalators!$I$43:$Q$43,0))</f>
        <v>0</v>
      </c>
      <c r="AE17" s="47">
        <f>INDEX(Lab_Mat!$K$6:$N$9,MATCH($H17,Lab_Mat!$J$6:$J$9,0),MATCH($AG$4,Lab_Mat!$K$5:$N$5,0))*$J17*INDEX(Act_Type_Repex_Splits,MATCH($I17,Act_Type_Repex,0),MATCH(AE$4,Mat_Type,0))*INDEX(Escalators!$I$44:$Q$49,MATCH(AE$4,Escalators!$C$44:$C$49,0),MATCH(AE$5,Escalators!$I$43:$Q$43,0))</f>
        <v>0</v>
      </c>
      <c r="AF17" s="47">
        <f>INDEX(Lab_Mat!$K$6:$N$9,MATCH($H17,Lab_Mat!$J$6:$J$9,0),MATCH($AG$4,Lab_Mat!$K$5:$N$5,0))*$J17*INDEX(Act_Type_Repex_Splits,MATCH($I17,Act_Type_Repex,0),MATCH(AF$4,Mat_Type,0))*INDEX(Escalators!$I$44:$Q$49,MATCH(AF$4,Escalators!$C$44:$C$49,0),MATCH(AF$5,Escalators!$I$43:$Q$43,0))</f>
        <v>0</v>
      </c>
      <c r="AG17" s="47">
        <f t="shared" si="32"/>
        <v>0</v>
      </c>
      <c r="AH17" s="47">
        <f>INDEX(Lab_Mat!$K$6:$N$9,MATCH($H17,Lab_Mat!$J$6:$J$9,0),MATCH($AY$4,Lab_Mat!$K$5:$N$5,0))*$K17*INDEX(Act_Type_Repex_Splits,MATCH($I17,Act_Type_Repex,0),MATCH(AH$4,Mat_Type,0))*INDEX(Escalators!$I$44:$U$49,MATCH(AH$4,Escalators!$C$44:$C$49,0),MATCH(AH$5,Escalators!$I$43:$U$43,0))</f>
        <v>0</v>
      </c>
      <c r="AI17" s="47">
        <f>INDEX(Lab_Mat!$K$6:$N$9,MATCH($H17,Lab_Mat!$J$6:$J$9,0),MATCH($AY$4,Lab_Mat!$K$5:$N$5,0))*$K17*INDEX(Act_Type_Repex_Splits,MATCH($I17,Act_Type_Repex,0),MATCH(AI$4,Mat_Type,0))*INDEX(Escalators!$I$44:$U$49,MATCH(AI$4,Escalators!$C$44:$C$49,0),MATCH(AI$5,Escalators!$I$43:$U$43,0))</f>
        <v>0</v>
      </c>
      <c r="AJ17" s="47">
        <f>INDEX(Lab_Mat!$K$6:$N$9,MATCH($H17,Lab_Mat!$J$6:$J$9,0),MATCH($AY$4,Lab_Mat!$K$5:$N$5,0))*$K17*INDEX(Act_Type_Repex_Splits,MATCH($I17,Act_Type_Repex,0),MATCH(AJ$4,Mat_Type,0))*INDEX(Escalators!$I$44:$U$49,MATCH(AJ$4,Escalators!$C$44:$C$49,0),MATCH(AJ$5,Escalators!$I$43:$U$43,0))</f>
        <v>0</v>
      </c>
      <c r="AK17" s="47">
        <f>INDEX(Lab_Mat!$K$6:$N$9,MATCH($H17,Lab_Mat!$J$6:$J$9,0),MATCH($AY$4,Lab_Mat!$K$5:$N$5,0))*$K17*INDEX(Act_Type_Repex_Splits,MATCH($I17,Act_Type_Repex,0),MATCH(AK$4,Mat_Type,0))*INDEX(Escalators!$I$44:$U$49,MATCH(AK$4,Escalators!$C$44:$C$49,0),MATCH(AK$5,Escalators!$I$43:$U$43,0))</f>
        <v>0</v>
      </c>
      <c r="AL17" s="47">
        <f>INDEX(Lab_Mat!$K$6:$N$9,MATCH($H17,Lab_Mat!$J$6:$J$9,0),MATCH($AY$4,Lab_Mat!$K$5:$N$5,0))*$K17*INDEX(Act_Type_Repex_Splits,MATCH($I17,Act_Type_Repex,0),MATCH(AL$4,Mat_Type,0))*INDEX(Escalators!$I$44:$U$49,MATCH(AL$4,Escalators!$C$44:$C$49,0),MATCH(AL$5,Escalators!$I$43:$U$43,0))</f>
        <v>0</v>
      </c>
      <c r="AM17" s="47">
        <f t="shared" si="33"/>
        <v>0</v>
      </c>
      <c r="AN17" s="47">
        <f>INDEX(Lab_Mat!$K$6:$N$9,MATCH($H17,Lab_Mat!$J$6:$J$9,0),MATCH($AY$4,Lab_Mat!$K$5:$N$5,0))*$L17*INDEX(Act_Type_Repex_Splits,MATCH($I17,Act_Type_Repex,0),MATCH(AN$4,Mat_Type,0))*INDEX(Escalators!$I$44:$U$49,MATCH(AN$4,Escalators!$C$44:$C$49,0),MATCH(AN$5,Escalators!$I$43:$U$43,0))</f>
        <v>0</v>
      </c>
      <c r="AO17" s="47">
        <f>INDEX(Lab_Mat!$K$6:$N$9,MATCH($H17,Lab_Mat!$J$6:$J$9,0),MATCH($AY$4,Lab_Mat!$K$5:$N$5,0))*$L17*INDEX(Act_Type_Repex_Splits,MATCH($I17,Act_Type_Repex,0),MATCH(AO$4,Mat_Type,0))*INDEX(Escalators!$I$44:$U$49,MATCH(AO$4,Escalators!$C$44:$C$49,0),MATCH(AO$5,Escalators!$I$43:$U$43,0))</f>
        <v>0</v>
      </c>
      <c r="AP17" s="47">
        <f>INDEX(Lab_Mat!$K$6:$N$9,MATCH($H17,Lab_Mat!$J$6:$J$9,0),MATCH($AY$4,Lab_Mat!$K$5:$N$5,0))*$L17*INDEX(Act_Type_Repex_Splits,MATCH($I17,Act_Type_Repex,0),MATCH(AP$4,Mat_Type,0))*INDEX(Escalators!$I$44:$U$49,MATCH(AP$4,Escalators!$C$44:$C$49,0),MATCH(AP$5,Escalators!$I$43:$U$43,0))</f>
        <v>0</v>
      </c>
      <c r="AQ17" s="47">
        <f>INDEX(Lab_Mat!$K$6:$N$9,MATCH($H17,Lab_Mat!$J$6:$J$9,0),MATCH($AY$4,Lab_Mat!$K$5:$N$5,0))*$L17*INDEX(Act_Type_Repex_Splits,MATCH($I17,Act_Type_Repex,0),MATCH(AQ$4,Mat_Type,0))*INDEX(Escalators!$I$44:$U$49,MATCH(AQ$4,Escalators!$C$44:$C$49,0),MATCH(AQ$5,Escalators!$I$43:$U$43,0))</f>
        <v>0</v>
      </c>
      <c r="AR17" s="47">
        <f>INDEX(Lab_Mat!$K$6:$N$9,MATCH($H17,Lab_Mat!$J$6:$J$9,0),MATCH($AY$4,Lab_Mat!$K$5:$N$5,0))*$L17*INDEX(Act_Type_Repex_Splits,MATCH($I17,Act_Type_Repex,0),MATCH(AR$4,Mat_Type,0))*INDEX(Escalators!$I$44:$U$49,MATCH(AR$4,Escalators!$C$44:$C$49,0),MATCH(AR$5,Escalators!$I$43:$U$43,0))</f>
        <v>0</v>
      </c>
      <c r="AS17" s="47">
        <f t="shared" si="34"/>
        <v>0</v>
      </c>
      <c r="AT17" s="47">
        <f>INDEX(Lab_Mat!$K$6:$N$9,MATCH($H17,Lab_Mat!$J$6:$J$9,0),MATCH($AY$4,Lab_Mat!$K$5:$N$5,0))*$M17*INDEX(Act_Type_Repex_Splits,MATCH($I17,Act_Type_Repex,0),MATCH(AT$4,Mat_Type,0))*INDEX(Escalators!$I$44:$U$49,MATCH(AT$4,Escalators!$C$44:$C$49,0),MATCH(AT$5,Escalators!$I$43:$U$43,0))</f>
        <v>0</v>
      </c>
      <c r="AU17" s="47">
        <f>INDEX(Lab_Mat!$K$6:$N$9,MATCH($H17,Lab_Mat!$J$6:$J$9,0),MATCH($AY$4,Lab_Mat!$K$5:$N$5,0))*$M17*INDEX(Act_Type_Repex_Splits,MATCH($I17,Act_Type_Repex,0),MATCH(AU$4,Mat_Type,0))*INDEX(Escalators!$I$44:$U$49,MATCH(AU$4,Escalators!$C$44:$C$49,0),MATCH(AU$5,Escalators!$I$43:$U$43,0))</f>
        <v>0</v>
      </c>
      <c r="AV17" s="47">
        <f>INDEX(Lab_Mat!$K$6:$N$9,MATCH($H17,Lab_Mat!$J$6:$J$9,0),MATCH($AY$4,Lab_Mat!$K$5:$N$5,0))*$M17*INDEX(Act_Type_Repex_Splits,MATCH($I17,Act_Type_Repex,0),MATCH(AV$4,Mat_Type,0))*INDEX(Escalators!$I$44:$U$49,MATCH(AV$4,Escalators!$C$44:$C$49,0),MATCH(AV$5,Escalators!$I$43:$U$43,0))</f>
        <v>145.53154017762901</v>
      </c>
      <c r="AW17" s="47">
        <f>INDEX(Lab_Mat!$K$6:$N$9,MATCH($H17,Lab_Mat!$J$6:$J$9,0),MATCH($AY$4,Lab_Mat!$K$5:$N$5,0))*$M17*INDEX(Act_Type_Repex_Splits,MATCH($I17,Act_Type_Repex,0),MATCH(AW$4,Mat_Type,0))*INDEX(Escalators!$I$44:$U$49,MATCH(AW$4,Escalators!$C$44:$C$49,0),MATCH(AW$5,Escalators!$I$43:$U$43,0))</f>
        <v>0</v>
      </c>
      <c r="AX17" s="47">
        <f>INDEX(Lab_Mat!$K$6:$N$9,MATCH($H17,Lab_Mat!$J$6:$J$9,0),MATCH($AY$4,Lab_Mat!$K$5:$N$5,0))*$M17*INDEX(Act_Type_Repex_Splits,MATCH($I17,Act_Type_Repex,0),MATCH(AX$4,Mat_Type,0))*INDEX(Escalators!$I$44:$U$49,MATCH(AX$4,Escalators!$C$44:$C$49,0),MATCH(AX$5,Escalators!$I$43:$U$43,0))</f>
        <v>145.53154017762901</v>
      </c>
      <c r="AY17" s="47">
        <f t="shared" si="35"/>
        <v>291.06308035525802</v>
      </c>
      <c r="AZ17" s="47">
        <f>INDEX(Lab_Mat!$K$6:$N$9,MATCH($H17,Lab_Mat!$J$6:$J$9,0),MATCH($BE$4,Lab_Mat!$K$5:$N$5,0))*$N17*INDEX(Act_Type_Repex_Splits,MATCH($I17,Act_Type_Repex,0),MATCH(AZ$4,Mat_Type,0))*INDEX(Escalators!$I$44:$U$49,MATCH(AZ$4,Escalators!$C$44:$C$49,0),MATCH(AZ$5,Escalators!$I$43:$U$43,0))</f>
        <v>0</v>
      </c>
      <c r="BA17" s="47">
        <f>INDEX(Lab_Mat!$K$6:$N$9,MATCH($H17,Lab_Mat!$J$6:$J$9,0),MATCH($BE$4,Lab_Mat!$K$5:$N$5,0))*$N17*INDEX(Act_Type_Repex_Splits,MATCH($I17,Act_Type_Repex,0),MATCH(BA$4,Mat_Type,0))*INDEX(Escalators!$I$44:$U$49,MATCH(BA$4,Escalators!$C$44:$C$49,0),MATCH(BA$5,Escalators!$I$43:$U$43,0))</f>
        <v>0</v>
      </c>
      <c r="BB17" s="47">
        <f>INDEX(Lab_Mat!$K$6:$N$9,MATCH($H17,Lab_Mat!$J$6:$J$9,0),MATCH($BE$4,Lab_Mat!$K$5:$N$5,0))*$N17*INDEX(Act_Type_Repex_Splits,MATCH($I17,Act_Type_Repex,0),MATCH(BB$4,Mat_Type,0))*INDEX(Escalators!$I$44:$U$49,MATCH(BB$4,Escalators!$C$44:$C$49,0),MATCH(BB$5,Escalators!$I$43:$U$43,0))</f>
        <v>62.229975523024123</v>
      </c>
      <c r="BC17" s="47">
        <f>INDEX(Lab_Mat!$K$6:$N$9,MATCH($H17,Lab_Mat!$J$6:$J$9,0),MATCH($BE$4,Lab_Mat!$K$5:$N$5,0))*$N17*INDEX(Act_Type_Repex_Splits,MATCH($I17,Act_Type_Repex,0),MATCH(BC$4,Mat_Type,0))*INDEX(Escalators!$I$44:$U$49,MATCH(BC$4,Escalators!$C$44:$C$49,0),MATCH(BC$5,Escalators!$I$43:$U$43,0))</f>
        <v>0</v>
      </c>
      <c r="BD17" s="47">
        <f>INDEX(Lab_Mat!$K$6:$N$9,MATCH($H17,Lab_Mat!$J$6:$J$9,0),MATCH($BE$4,Lab_Mat!$K$5:$N$5,0))*$N17*INDEX(Act_Type_Repex_Splits,MATCH($I17,Act_Type_Repex,0),MATCH(BD$4,Mat_Type,0))*INDEX(Escalators!$I$44:$U$49,MATCH(BD$4,Escalators!$C$44:$C$49,0),MATCH(BD$5,Escalators!$I$43:$U$43,0))</f>
        <v>62.229975523024123</v>
      </c>
      <c r="BE17" s="47">
        <f t="shared" si="36"/>
        <v>124.45995104604825</v>
      </c>
      <c r="BF17" s="47">
        <f>INDEX(Lab_Mat!$K$6:$N$9,MATCH($H17,Lab_Mat!$J$6:$J$9,0),MATCH($BK$4,Lab_Mat!$K$5:$N$5,0))*$O17*INDEX(Act_Type_Repex_Splits,MATCH($I17,Act_Type_Repex,0),MATCH(BF$4,Mat_Type,0))*INDEX(Escalators!$I$44:$U$49,MATCH(BF$4,Escalators!$C$44:$C$49,0),MATCH(BF$5,Escalators!$I$43:$U$43,0))</f>
        <v>0</v>
      </c>
      <c r="BG17" s="47">
        <f>INDEX(Lab_Mat!$K$6:$N$9,MATCH($H17,Lab_Mat!$J$6:$J$9,0),MATCH($BK$4,Lab_Mat!$K$5:$N$5,0))*$O17*INDEX(Act_Type_Repex_Splits,MATCH($I17,Act_Type_Repex,0),MATCH(BG$4,Mat_Type,0))*INDEX(Escalators!$I$44:$U$49,MATCH(BG$4,Escalators!$C$44:$C$49,0),MATCH(BG$5,Escalators!$I$43:$U$43,0))</f>
        <v>0</v>
      </c>
      <c r="BH17" s="47">
        <f>INDEX(Lab_Mat!$K$6:$N$9,MATCH($H17,Lab_Mat!$J$6:$J$9,0),MATCH($BK$4,Lab_Mat!$K$5:$N$5,0))*$O17*INDEX(Act_Type_Repex_Splits,MATCH($I17,Act_Type_Repex,0),MATCH(BH$4,Mat_Type,0))*INDEX(Escalators!$I$44:$U$49,MATCH(BH$4,Escalators!$C$44:$C$49,0),MATCH(BH$5,Escalators!$I$43:$U$43,0))</f>
        <v>0</v>
      </c>
      <c r="BI17" s="47">
        <f>INDEX(Lab_Mat!$K$6:$N$9,MATCH($H17,Lab_Mat!$J$6:$J$9,0),MATCH($BK$4,Lab_Mat!$K$5:$N$5,0))*$O17*INDEX(Act_Type_Repex_Splits,MATCH($I17,Act_Type_Repex,0),MATCH(BI$4,Mat_Type,0))*INDEX(Escalators!$I$44:$U$49,MATCH(BI$4,Escalators!$C$44:$C$49,0),MATCH(BI$5,Escalators!$I$43:$U$43,0))</f>
        <v>0</v>
      </c>
      <c r="BJ17" s="47">
        <f>INDEX(Lab_Mat!$K$6:$N$9,MATCH($H17,Lab_Mat!$J$6:$J$9,0),MATCH($BK$4,Lab_Mat!$K$5:$N$5,0))*$O17*INDEX(Act_Type_Repex_Splits,MATCH($I17,Act_Type_Repex,0),MATCH(BJ$4,Mat_Type,0))*INDEX(Escalators!$I$44:$U$49,MATCH(BJ$4,Escalators!$C$44:$C$49,0),MATCH(BJ$5,Escalators!$I$43:$U$43,0))</f>
        <v>0</v>
      </c>
      <c r="BK17" s="47">
        <f t="shared" si="37"/>
        <v>0</v>
      </c>
      <c r="BL17" s="47">
        <f>INDEX(Lab_Mat!$K$6:$N$9,MATCH($H17,Lab_Mat!$J$6:$J$9,0),MATCH($BQ$4,Lab_Mat!$K$5:$N$5,0))*$P17*INDEX(Act_Type_Repex_Splits,MATCH($I17,Act_Type_Repex,0),MATCH(BL$4,Mat_Type,0))*INDEX(Escalators!$I$44:$U$49,MATCH(BL$4,Escalators!$C$44:$C$49,0),MATCH(BL$5,Escalators!$I$43:$U$43,0))</f>
        <v>0</v>
      </c>
      <c r="BM17" s="47">
        <f>INDEX(Lab_Mat!$K$6:$N$9,MATCH($H17,Lab_Mat!$J$6:$J$9,0),MATCH($BQ$4,Lab_Mat!$K$5:$N$5,0))*$P17*INDEX(Act_Type_Repex_Splits,MATCH($I17,Act_Type_Repex,0),MATCH(BM$4,Mat_Type,0))*INDEX(Escalators!$I$44:$U$49,MATCH(BM$4,Escalators!$C$44:$C$49,0),MATCH(BM$5,Escalators!$I$43:$U$43,0))</f>
        <v>0</v>
      </c>
      <c r="BN17" s="47">
        <f>INDEX(Lab_Mat!$K$6:$N$9,MATCH($H17,Lab_Mat!$J$6:$J$9,0),MATCH($BQ$4,Lab_Mat!$K$5:$N$5,0))*$P17*INDEX(Act_Type_Repex_Splits,MATCH($I17,Act_Type_Repex,0),MATCH(BN$4,Mat_Type,0))*INDEX(Escalators!$I$44:$U$49,MATCH(BN$4,Escalators!$C$44:$C$49,0),MATCH(BN$5,Escalators!$I$43:$U$43,0))</f>
        <v>0</v>
      </c>
      <c r="BO17" s="47">
        <f>INDEX(Lab_Mat!$K$6:$N$9,MATCH($H17,Lab_Mat!$J$6:$J$9,0),MATCH($BQ$4,Lab_Mat!$K$5:$N$5,0))*$P17*INDEX(Act_Type_Repex_Splits,MATCH($I17,Act_Type_Repex,0),MATCH(BO$4,Mat_Type,0))*INDEX(Escalators!$I$44:$U$49,MATCH(BO$4,Escalators!$C$44:$C$49,0),MATCH(BO$5,Escalators!$I$43:$U$43,0))</f>
        <v>0</v>
      </c>
      <c r="BP17" s="47">
        <f>INDEX(Lab_Mat!$K$6:$N$9,MATCH($H17,Lab_Mat!$J$6:$J$9,0),MATCH($BQ$4,Lab_Mat!$K$5:$N$5,0))*$P17*INDEX(Act_Type_Repex_Splits,MATCH($I17,Act_Type_Repex,0),MATCH(BP$4,Mat_Type,0))*INDEX(Escalators!$I$44:$U$49,MATCH(BP$4,Escalators!$C$44:$C$49,0),MATCH(BP$5,Escalators!$I$43:$U$43,0))</f>
        <v>0</v>
      </c>
      <c r="BQ17" s="47">
        <f t="shared" si="38"/>
        <v>0</v>
      </c>
      <c r="BR17" s="47">
        <f>INDEX(Lab_Mat!$K$6:$N$9,MATCH($H17,Lab_Mat!$J$6:$J$9,0),MATCH($BW$4,Lab_Mat!$K$5:$N$5,0))*$Q17*INDEX(Act_Type_Repex_Splits,MATCH($I17,Act_Type_Repex,0),MATCH(BR$4,Mat_Type,0))*INDEX(Escalators!$I$44:$U$49,MATCH(BR$4,Escalators!$C$44:$C$49,0),MATCH(BR$5,Escalators!$I$43:$U$43,0))</f>
        <v>0</v>
      </c>
      <c r="BS17" s="47">
        <f>INDEX(Lab_Mat!$K$6:$N$9,MATCH($H17,Lab_Mat!$J$6:$J$9,0),MATCH($BW$4,Lab_Mat!$K$5:$N$5,0))*$Q17*INDEX(Act_Type_Repex_Splits,MATCH($I17,Act_Type_Repex,0),MATCH(BS$4,Mat_Type,0))*INDEX(Escalators!$I$44:$U$49,MATCH(BS$4,Escalators!$C$44:$C$49,0),MATCH(BS$5,Escalators!$I$43:$U$43,0))</f>
        <v>0</v>
      </c>
      <c r="BT17" s="47">
        <f>INDEX(Lab_Mat!$K$6:$N$9,MATCH($H17,Lab_Mat!$J$6:$J$9,0),MATCH($BW$4,Lab_Mat!$K$5:$N$5,0))*$Q17*INDEX(Act_Type_Repex_Splits,MATCH($I17,Act_Type_Repex,0),MATCH(BT$4,Mat_Type,0))*INDEX(Escalators!$I$44:$U$49,MATCH(BT$4,Escalators!$C$44:$C$49,0),MATCH(BT$5,Escalators!$I$43:$U$43,0))</f>
        <v>0</v>
      </c>
      <c r="BU17" s="47">
        <f>INDEX(Lab_Mat!$K$6:$N$9,MATCH($H17,Lab_Mat!$J$6:$J$9,0),MATCH($BW$4,Lab_Mat!$K$5:$N$5,0))*$Q17*INDEX(Act_Type_Repex_Splits,MATCH($I17,Act_Type_Repex,0),MATCH(BU$4,Mat_Type,0))*INDEX(Escalators!$I$44:$U$49,MATCH(BU$4,Escalators!$C$44:$C$49,0),MATCH(BU$5,Escalators!$I$43:$U$43,0))</f>
        <v>0</v>
      </c>
      <c r="BV17" s="47">
        <f>INDEX(Lab_Mat!$K$6:$N$9,MATCH($H17,Lab_Mat!$J$6:$J$9,0),MATCH($BW$4,Lab_Mat!$K$5:$N$5,0))*$Q17*INDEX(Act_Type_Repex_Splits,MATCH($I17,Act_Type_Repex,0),MATCH(BV$4,Mat_Type,0))*INDEX(Escalators!$I$44:$U$49,MATCH(BV$4,Escalators!$C$44:$C$49,0),MATCH(BV$5,Escalators!$I$43:$U$43,0))</f>
        <v>0</v>
      </c>
      <c r="BW17" s="47">
        <f t="shared" si="39"/>
        <v>0</v>
      </c>
      <c r="BY17" s="47">
        <f>INDEX(Lab_Mat!$K$6:$N$9,MATCH($H17,Lab_Mat!$J$6:$J$9,0),MATCH($BY$4,Lab_Mat!$K$5:$N$5,0))*J17*HLOOKUP(BY$5,Escalators!$I$25:$U$30,6,FALSE)</f>
        <v>0</v>
      </c>
      <c r="BZ17" s="47">
        <f>INDEX(Lab_Mat!$K$6:$N$9,MATCH($H17,Lab_Mat!$J$6:$J$9,0),MATCH($BY$4,Lab_Mat!$K$5:$N$5,0))*K17*HLOOKUP(BZ$5,Escalators!$I$25:$U$30,6,FALSE)</f>
        <v>0</v>
      </c>
      <c r="CA17" s="47">
        <f>INDEX(Lab_Mat!$K$6:$N$9,MATCH($H17,Lab_Mat!$J$6:$J$9,0),MATCH($BY$4,Lab_Mat!$K$5:$N$5,0))*L17*HLOOKUP(CA$5,Escalators!$I$25:$U$30,6,FALSE)</f>
        <v>0</v>
      </c>
      <c r="CB17" s="47">
        <f>INDEX(Lab_Mat!$K$6:$N$9,MATCH($H17,Lab_Mat!$J$6:$J$9,0),MATCH($BY$4,Lab_Mat!$K$5:$N$5,0))*M17*HLOOKUP(CB$5,Escalators!$I$25:$U$30,6,FALSE)</f>
        <v>1198.284578545675</v>
      </c>
      <c r="CC17" s="47">
        <f>INDEX(Lab_Mat!$K$6:$N$9,MATCH($H17,Lab_Mat!$J$6:$J$9,0),MATCH($BY$4,Lab_Mat!$K$5:$N$5,0))*N17*HLOOKUP(CC$5,Escalators!$I$25:$U$30,6,FALSE)</f>
        <v>517.64938512081255</v>
      </c>
      <c r="CD17" s="47">
        <f>INDEX(Lab_Mat!$K$6:$N$9,MATCH($H17,Lab_Mat!$J$6:$J$9,0),MATCH($BY$4,Lab_Mat!$K$5:$N$5,0))*O17*HLOOKUP(CD$5,Escalators!$I$25:$U$30,6,FALSE)</f>
        <v>0</v>
      </c>
      <c r="CE17" s="47">
        <f>INDEX(Lab_Mat!$K$6:$N$9,MATCH($H17,Lab_Mat!$J$6:$J$9,0),MATCH($BY$4,Lab_Mat!$K$5:$N$5,0))*P17*HLOOKUP(CE$5,Escalators!$I$25:$U$30,6,FALSE)</f>
        <v>0</v>
      </c>
      <c r="CF17" s="47">
        <f>INDEX(Lab_Mat!$K$6:$N$9,MATCH($H17,Lab_Mat!$J$6:$J$9,0),MATCH($BY$4,Lab_Mat!$K$5:$N$5,0))*Q17*HLOOKUP(CF$5,Escalators!$I$25:$U$30,6,FALSE)</f>
        <v>0</v>
      </c>
      <c r="CH17" s="47">
        <f>INDEX(Lab_Mat!$K$6:$N$9,MATCH($H17,Lab_Mat!$J$6:$J$9,0),MATCH($CH$4,Lab_Mat!$K$5:$N$5,0))*J17</f>
        <v>0</v>
      </c>
      <c r="CI17" s="47">
        <f>INDEX(Lab_Mat!$K$6:$N$9,MATCH($H17,Lab_Mat!$J$6:$J$9,0),MATCH($CH$4,Lab_Mat!$K$5:$N$5,0))*K17</f>
        <v>0</v>
      </c>
      <c r="CJ17" s="47">
        <f>INDEX(Lab_Mat!$K$6:$N$9,MATCH($H17,Lab_Mat!$J$6:$J$9,0),MATCH($CH$4,Lab_Mat!$K$5:$N$5,0))*L17</f>
        <v>0</v>
      </c>
      <c r="CK17" s="47">
        <f>INDEX(Lab_Mat!$K$6:$N$9,MATCH($H17,Lab_Mat!$J$6:$J$9,0),MATCH($CH$4,Lab_Mat!$K$5:$N$5,0))*M17</f>
        <v>390.90227567618814</v>
      </c>
      <c r="CL17" s="47">
        <f>INDEX(Lab_Mat!$K$6:$N$9,MATCH($H17,Lab_Mat!$J$6:$J$9,0),MATCH($CH$4,Lab_Mat!$K$5:$N$5,0))*N17</f>
        <v>167.15166360180501</v>
      </c>
      <c r="CM17" s="47">
        <f>INDEX(Lab_Mat!$K$6:$N$9,MATCH($H17,Lab_Mat!$J$6:$J$9,0),MATCH($CH$4,Lab_Mat!$K$5:$N$5,0))*O17</f>
        <v>0</v>
      </c>
      <c r="CN17" s="47">
        <f>INDEX(Lab_Mat!$K$6:$N$9,MATCH($H17,Lab_Mat!$J$6:$J$9,0),MATCH($CH$4,Lab_Mat!$K$5:$N$5,0))*P17</f>
        <v>0</v>
      </c>
      <c r="CO17" s="47">
        <f>INDEX(Lab_Mat!$K$6:$N$9,MATCH($H17,Lab_Mat!$J$6:$J$9,0),MATCH($CH$4,Lab_Mat!$K$5:$N$5,0))*Q17</f>
        <v>0</v>
      </c>
      <c r="CQ17" s="47">
        <f t="shared" si="24"/>
        <v>0</v>
      </c>
      <c r="CR17" s="47">
        <f t="shared" si="25"/>
        <v>0</v>
      </c>
      <c r="CS17" s="47">
        <f t="shared" si="26"/>
        <v>0</v>
      </c>
      <c r="CT17" s="47">
        <f t="shared" si="27"/>
        <v>2283.0738424285537</v>
      </c>
      <c r="CU17" s="47">
        <f t="shared" si="28"/>
        <v>983.27771661929387</v>
      </c>
      <c r="CV17" s="47">
        <f t="shared" si="29"/>
        <v>0</v>
      </c>
      <c r="CW17" s="47">
        <f t="shared" si="30"/>
        <v>0</v>
      </c>
      <c r="CX17" s="47">
        <f t="shared" si="31"/>
        <v>0</v>
      </c>
      <c r="CY17" s="39"/>
      <c r="CZ17" s="39"/>
      <c r="DA17" s="39"/>
      <c r="DB17" s="39"/>
      <c r="DC17" s="39"/>
    </row>
    <row r="18" spans="2:109" x14ac:dyDescent="0.3">
      <c r="B18" s="7"/>
      <c r="C18" s="7" t="s">
        <v>414</v>
      </c>
      <c r="D18" s="7" t="s">
        <v>693</v>
      </c>
      <c r="E18" s="7" t="s">
        <v>48</v>
      </c>
      <c r="F18" s="7" t="s">
        <v>55</v>
      </c>
      <c r="G18" s="7" t="s">
        <v>10</v>
      </c>
      <c r="H18" s="7" t="s">
        <v>750</v>
      </c>
      <c r="I18" s="7" t="s">
        <v>204</v>
      </c>
      <c r="J18" s="45"/>
      <c r="K18" s="45"/>
      <c r="L18" s="45"/>
      <c r="M18" s="45">
        <v>1695.6714179410474</v>
      </c>
      <c r="N18" s="45">
        <v>725.07712558231879</v>
      </c>
      <c r="O18" s="45">
        <v>0</v>
      </c>
      <c r="P18" s="45"/>
      <c r="Q18" s="45"/>
      <c r="S18" s="47">
        <f>INDEX(Lab_Mat!$K$6:$N$9,MATCH($H18,Lab_Mat!$J$6:$J$9,0),MATCH($S$4,Lab_Mat!$K$5:$N$5,0))*J18*HLOOKUP(S$5,Escalators!$I$25:$U$30,3,FALSE)</f>
        <v>0</v>
      </c>
      <c r="T18" s="47">
        <f>INDEX(Lab_Mat!$K$6:$N$9,MATCH($H18,Lab_Mat!$J$6:$J$9,0),MATCH($S$4,Lab_Mat!$K$5:$N$5,0))*K18*HLOOKUP(T$5,Escalators!$I$25:$U$30,3,FALSE)</f>
        <v>0</v>
      </c>
      <c r="U18" s="47">
        <f>INDEX(Lab_Mat!$K$6:$N$9,MATCH($H18,Lab_Mat!$J$6:$J$9,0),MATCH($S$4,Lab_Mat!$K$5:$N$5,0))*L18*HLOOKUP(U$5,Escalators!$I$25:$U$30,3,FALSE)</f>
        <v>0</v>
      </c>
      <c r="V18" s="47">
        <f>INDEX(Lab_Mat!$K$6:$N$9,MATCH($H18,Lab_Mat!$J$6:$J$9,0),MATCH($S$4,Lab_Mat!$K$5:$N$5,0))*M18*HLOOKUP(V$5,Escalators!$I$25:$U$30,3,FALSE)</f>
        <v>322.13536221412022</v>
      </c>
      <c r="W18" s="47">
        <f>INDEX(Lab_Mat!$K$6:$N$9,MATCH($H18,Lab_Mat!$J$6:$J$9,0),MATCH($S$4,Lab_Mat!$K$5:$N$5,0))*N18*HLOOKUP(W$5,Escalators!$I$25:$U$30,3,FALSE)</f>
        <v>139.15990839020338</v>
      </c>
      <c r="X18" s="47">
        <f>INDEX(Lab_Mat!$K$6:$N$9,MATCH($H18,Lab_Mat!$J$6:$J$9,0),MATCH($S$4,Lab_Mat!$K$5:$N$5,0))*O18*HLOOKUP(X$5,Escalators!$I$25:$U$30,3,FALSE)</f>
        <v>0</v>
      </c>
      <c r="Y18" s="47">
        <f>INDEX(Lab_Mat!$K$6:$N$9,MATCH($H18,Lab_Mat!$J$6:$J$9,0),MATCH($S$4,Lab_Mat!$K$5:$N$5,0))*P18*HLOOKUP(Y$5,Escalators!$I$25:$U$30,3,FALSE)</f>
        <v>0</v>
      </c>
      <c r="Z18" s="47">
        <f>INDEX(Lab_Mat!$K$6:$N$9,MATCH($H18,Lab_Mat!$J$6:$J$9,0),MATCH($S$4,Lab_Mat!$K$5:$N$5,0))*Q18*HLOOKUP(Z$5,Escalators!$I$25:$U$30,3,FALSE)</f>
        <v>0</v>
      </c>
      <c r="AB18" s="47">
        <f>INDEX(Lab_Mat!$K$6:$N$9,MATCH($H18,Lab_Mat!$J$6:$J$9,0),MATCH($AG$4,Lab_Mat!$K$5:$N$5,0))*$J18*INDEX(Act_Type_Repex_Splits,MATCH($I18,Act_Type_Repex,0),MATCH(AB$4,Mat_Type,0))*INDEX(Escalators!$I$44:$Q$49,MATCH(AB$4,Escalators!$C$44:$C$49,0),MATCH(AB$5,Escalators!$I$43:$Q$43,0))</f>
        <v>0</v>
      </c>
      <c r="AC18" s="47">
        <f>INDEX(Lab_Mat!$K$6:$N$9,MATCH($H18,Lab_Mat!$J$6:$J$9,0),MATCH($AG$4,Lab_Mat!$K$5:$N$5,0))*$J18*INDEX(Act_Type_Repex_Splits,MATCH($I18,Act_Type_Repex,0),MATCH(AC$4,Mat_Type,0))*INDEX(Escalators!$I$44:$Q$49,MATCH(AC$4,Escalators!$C$44:$C$49,0),MATCH(AC$5,Escalators!$I$43:$Q$43,0))</f>
        <v>0</v>
      </c>
      <c r="AD18" s="47">
        <f>INDEX(Lab_Mat!$K$6:$N$9,MATCH($H18,Lab_Mat!$J$6:$J$9,0),MATCH($AG$4,Lab_Mat!$K$5:$N$5,0))*$J18*INDEX(Act_Type_Repex_Splits,MATCH($I18,Act_Type_Repex,0),MATCH(AD$4,Mat_Type,0))*INDEX(Escalators!$I$44:$Q$49,MATCH(AD$4,Escalators!$C$44:$C$49,0),MATCH(AD$5,Escalators!$I$43:$Q$43,0))</f>
        <v>0</v>
      </c>
      <c r="AE18" s="47">
        <f>INDEX(Lab_Mat!$K$6:$N$9,MATCH($H18,Lab_Mat!$J$6:$J$9,0),MATCH($AG$4,Lab_Mat!$K$5:$N$5,0))*$J18*INDEX(Act_Type_Repex_Splits,MATCH($I18,Act_Type_Repex,0),MATCH(AE$4,Mat_Type,0))*INDEX(Escalators!$I$44:$Q$49,MATCH(AE$4,Escalators!$C$44:$C$49,0),MATCH(AE$5,Escalators!$I$43:$Q$43,0))</f>
        <v>0</v>
      </c>
      <c r="AF18" s="47">
        <f>INDEX(Lab_Mat!$K$6:$N$9,MATCH($H18,Lab_Mat!$J$6:$J$9,0),MATCH($AG$4,Lab_Mat!$K$5:$N$5,0))*$J18*INDEX(Act_Type_Repex_Splits,MATCH($I18,Act_Type_Repex,0),MATCH(AF$4,Mat_Type,0))*INDEX(Escalators!$I$44:$Q$49,MATCH(AF$4,Escalators!$C$44:$C$49,0),MATCH(AF$5,Escalators!$I$43:$Q$43,0))</f>
        <v>0</v>
      </c>
      <c r="AG18" s="47">
        <f t="shared" si="32"/>
        <v>0</v>
      </c>
      <c r="AH18" s="47">
        <f>INDEX(Lab_Mat!$K$6:$N$9,MATCH($H18,Lab_Mat!$J$6:$J$9,0),MATCH($AY$4,Lab_Mat!$K$5:$N$5,0))*$K18*INDEX(Act_Type_Repex_Splits,MATCH($I18,Act_Type_Repex,0),MATCH(AH$4,Mat_Type,0))*INDEX(Escalators!$I$44:$U$49,MATCH(AH$4,Escalators!$C$44:$C$49,0),MATCH(AH$5,Escalators!$I$43:$U$43,0))</f>
        <v>0</v>
      </c>
      <c r="AI18" s="47">
        <f>INDEX(Lab_Mat!$K$6:$N$9,MATCH($H18,Lab_Mat!$J$6:$J$9,0),MATCH($AY$4,Lab_Mat!$K$5:$N$5,0))*$K18*INDEX(Act_Type_Repex_Splits,MATCH($I18,Act_Type_Repex,0),MATCH(AI$4,Mat_Type,0))*INDEX(Escalators!$I$44:$U$49,MATCH(AI$4,Escalators!$C$44:$C$49,0),MATCH(AI$5,Escalators!$I$43:$U$43,0))</f>
        <v>0</v>
      </c>
      <c r="AJ18" s="47">
        <f>INDEX(Lab_Mat!$K$6:$N$9,MATCH($H18,Lab_Mat!$J$6:$J$9,0),MATCH($AY$4,Lab_Mat!$K$5:$N$5,0))*$K18*INDEX(Act_Type_Repex_Splits,MATCH($I18,Act_Type_Repex,0),MATCH(AJ$4,Mat_Type,0))*INDEX(Escalators!$I$44:$U$49,MATCH(AJ$4,Escalators!$C$44:$C$49,0),MATCH(AJ$5,Escalators!$I$43:$U$43,0))</f>
        <v>0</v>
      </c>
      <c r="AK18" s="47">
        <f>INDEX(Lab_Mat!$K$6:$N$9,MATCH($H18,Lab_Mat!$J$6:$J$9,0),MATCH($AY$4,Lab_Mat!$K$5:$N$5,0))*$K18*INDEX(Act_Type_Repex_Splits,MATCH($I18,Act_Type_Repex,0),MATCH(AK$4,Mat_Type,0))*INDEX(Escalators!$I$44:$U$49,MATCH(AK$4,Escalators!$C$44:$C$49,0),MATCH(AK$5,Escalators!$I$43:$U$43,0))</f>
        <v>0</v>
      </c>
      <c r="AL18" s="47">
        <f>INDEX(Lab_Mat!$K$6:$N$9,MATCH($H18,Lab_Mat!$J$6:$J$9,0),MATCH($AY$4,Lab_Mat!$K$5:$N$5,0))*$K18*INDEX(Act_Type_Repex_Splits,MATCH($I18,Act_Type_Repex,0),MATCH(AL$4,Mat_Type,0))*INDEX(Escalators!$I$44:$U$49,MATCH(AL$4,Escalators!$C$44:$C$49,0),MATCH(AL$5,Escalators!$I$43:$U$43,0))</f>
        <v>0</v>
      </c>
      <c r="AM18" s="47">
        <f t="shared" si="33"/>
        <v>0</v>
      </c>
      <c r="AN18" s="47">
        <f>INDEX(Lab_Mat!$K$6:$N$9,MATCH($H18,Lab_Mat!$J$6:$J$9,0),MATCH($AY$4,Lab_Mat!$K$5:$N$5,0))*$L18*INDEX(Act_Type_Repex_Splits,MATCH($I18,Act_Type_Repex,0),MATCH(AN$4,Mat_Type,0))*INDEX(Escalators!$I$44:$U$49,MATCH(AN$4,Escalators!$C$44:$C$49,0),MATCH(AN$5,Escalators!$I$43:$U$43,0))</f>
        <v>0</v>
      </c>
      <c r="AO18" s="47">
        <f>INDEX(Lab_Mat!$K$6:$N$9,MATCH($H18,Lab_Mat!$J$6:$J$9,0),MATCH($AY$4,Lab_Mat!$K$5:$N$5,0))*$L18*INDEX(Act_Type_Repex_Splits,MATCH($I18,Act_Type_Repex,0),MATCH(AO$4,Mat_Type,0))*INDEX(Escalators!$I$44:$U$49,MATCH(AO$4,Escalators!$C$44:$C$49,0),MATCH(AO$5,Escalators!$I$43:$U$43,0))</f>
        <v>0</v>
      </c>
      <c r="AP18" s="47">
        <f>INDEX(Lab_Mat!$K$6:$N$9,MATCH($H18,Lab_Mat!$J$6:$J$9,0),MATCH($AY$4,Lab_Mat!$K$5:$N$5,0))*$L18*INDEX(Act_Type_Repex_Splits,MATCH($I18,Act_Type_Repex,0),MATCH(AP$4,Mat_Type,0))*INDEX(Escalators!$I$44:$U$49,MATCH(AP$4,Escalators!$C$44:$C$49,0),MATCH(AP$5,Escalators!$I$43:$U$43,0))</f>
        <v>0</v>
      </c>
      <c r="AQ18" s="47">
        <f>INDEX(Lab_Mat!$K$6:$N$9,MATCH($H18,Lab_Mat!$J$6:$J$9,0),MATCH($AY$4,Lab_Mat!$K$5:$N$5,0))*$L18*INDEX(Act_Type_Repex_Splits,MATCH($I18,Act_Type_Repex,0),MATCH(AQ$4,Mat_Type,0))*INDEX(Escalators!$I$44:$U$49,MATCH(AQ$4,Escalators!$C$44:$C$49,0),MATCH(AQ$5,Escalators!$I$43:$U$43,0))</f>
        <v>0</v>
      </c>
      <c r="AR18" s="47">
        <f>INDEX(Lab_Mat!$K$6:$N$9,MATCH($H18,Lab_Mat!$J$6:$J$9,0),MATCH($AY$4,Lab_Mat!$K$5:$N$5,0))*$L18*INDEX(Act_Type_Repex_Splits,MATCH($I18,Act_Type_Repex,0),MATCH(AR$4,Mat_Type,0))*INDEX(Escalators!$I$44:$U$49,MATCH(AR$4,Escalators!$C$44:$C$49,0),MATCH(AR$5,Escalators!$I$43:$U$43,0))</f>
        <v>0</v>
      </c>
      <c r="AS18" s="47">
        <f t="shared" si="34"/>
        <v>0</v>
      </c>
      <c r="AT18" s="47">
        <f>INDEX(Lab_Mat!$K$6:$N$9,MATCH($H18,Lab_Mat!$J$6:$J$9,0),MATCH($AY$4,Lab_Mat!$K$5:$N$5,0))*$M18*INDEX(Act_Type_Repex_Splits,MATCH($I18,Act_Type_Repex,0),MATCH(AT$4,Mat_Type,0))*INDEX(Escalators!$I$44:$U$49,MATCH(AT$4,Escalators!$C$44:$C$49,0),MATCH(AT$5,Escalators!$I$43:$U$43,0))</f>
        <v>0</v>
      </c>
      <c r="AU18" s="47">
        <f>INDEX(Lab_Mat!$K$6:$N$9,MATCH($H18,Lab_Mat!$J$6:$J$9,0),MATCH($AY$4,Lab_Mat!$K$5:$N$5,0))*$M18*INDEX(Act_Type_Repex_Splits,MATCH($I18,Act_Type_Repex,0),MATCH(AU$4,Mat_Type,0))*INDEX(Escalators!$I$44:$U$49,MATCH(AU$4,Escalators!$C$44:$C$49,0),MATCH(AU$5,Escalators!$I$43:$U$43,0))</f>
        <v>0</v>
      </c>
      <c r="AV18" s="47">
        <f>INDEX(Lab_Mat!$K$6:$N$9,MATCH($H18,Lab_Mat!$J$6:$J$9,0),MATCH($AY$4,Lab_Mat!$K$5:$N$5,0))*$M18*INDEX(Act_Type_Repex_Splits,MATCH($I18,Act_Type_Repex,0),MATCH(AV$4,Mat_Type,0))*INDEX(Escalators!$I$44:$U$49,MATCH(AV$4,Escalators!$C$44:$C$49,0),MATCH(AV$5,Escalators!$I$43:$U$43,0))</f>
        <v>183.59677564993061</v>
      </c>
      <c r="AW18" s="47">
        <f>INDEX(Lab_Mat!$K$6:$N$9,MATCH($H18,Lab_Mat!$J$6:$J$9,0),MATCH($AY$4,Lab_Mat!$K$5:$N$5,0))*$M18*INDEX(Act_Type_Repex_Splits,MATCH($I18,Act_Type_Repex,0),MATCH(AW$4,Mat_Type,0))*INDEX(Escalators!$I$44:$U$49,MATCH(AW$4,Escalators!$C$44:$C$49,0),MATCH(AW$5,Escalators!$I$43:$U$43,0))</f>
        <v>0</v>
      </c>
      <c r="AX18" s="47">
        <f>INDEX(Lab_Mat!$K$6:$N$9,MATCH($H18,Lab_Mat!$J$6:$J$9,0),MATCH($AY$4,Lab_Mat!$K$5:$N$5,0))*$M18*INDEX(Act_Type_Repex_Splits,MATCH($I18,Act_Type_Repex,0),MATCH(AX$4,Mat_Type,0))*INDEX(Escalators!$I$44:$U$49,MATCH(AX$4,Escalators!$C$44:$C$49,0),MATCH(AX$5,Escalators!$I$43:$U$43,0))</f>
        <v>734.38710259972243</v>
      </c>
      <c r="AY18" s="47">
        <f t="shared" si="35"/>
        <v>917.983878249653</v>
      </c>
      <c r="AZ18" s="47">
        <f>INDEX(Lab_Mat!$K$6:$N$9,MATCH($H18,Lab_Mat!$J$6:$J$9,0),MATCH($BE$4,Lab_Mat!$K$5:$N$5,0))*$N18*INDEX(Act_Type_Repex_Splits,MATCH($I18,Act_Type_Repex,0),MATCH(AZ$4,Mat_Type,0))*INDEX(Escalators!$I$44:$U$49,MATCH(AZ$4,Escalators!$C$44:$C$49,0),MATCH(AZ$5,Escalators!$I$43:$U$43,0))</f>
        <v>0</v>
      </c>
      <c r="BA18" s="47">
        <f>INDEX(Lab_Mat!$K$6:$N$9,MATCH($H18,Lab_Mat!$J$6:$J$9,0),MATCH($BE$4,Lab_Mat!$K$5:$N$5,0))*$N18*INDEX(Act_Type_Repex_Splits,MATCH($I18,Act_Type_Repex,0),MATCH(BA$4,Mat_Type,0))*INDEX(Escalators!$I$44:$U$49,MATCH(BA$4,Escalators!$C$44:$C$49,0),MATCH(BA$5,Escalators!$I$43:$U$43,0))</f>
        <v>0</v>
      </c>
      <c r="BB18" s="47">
        <f>INDEX(Lab_Mat!$K$6:$N$9,MATCH($H18,Lab_Mat!$J$6:$J$9,0),MATCH($BE$4,Lab_Mat!$K$5:$N$5,0))*$N18*INDEX(Act_Type_Repex_Splits,MATCH($I18,Act_Type_Repex,0),MATCH(BB$4,Mat_Type,0))*INDEX(Escalators!$I$44:$U$49,MATCH(BB$4,Escalators!$C$44:$C$49,0),MATCH(BB$5,Escalators!$I$43:$U$43,0))</f>
        <v>78.506850410957227</v>
      </c>
      <c r="BC18" s="47">
        <f>INDEX(Lab_Mat!$K$6:$N$9,MATCH($H18,Lab_Mat!$J$6:$J$9,0),MATCH($BE$4,Lab_Mat!$K$5:$N$5,0))*$N18*INDEX(Act_Type_Repex_Splits,MATCH($I18,Act_Type_Repex,0),MATCH(BC$4,Mat_Type,0))*INDEX(Escalators!$I$44:$U$49,MATCH(BC$4,Escalators!$C$44:$C$49,0),MATCH(BC$5,Escalators!$I$43:$U$43,0))</f>
        <v>0</v>
      </c>
      <c r="BD18" s="47">
        <f>INDEX(Lab_Mat!$K$6:$N$9,MATCH($H18,Lab_Mat!$J$6:$J$9,0),MATCH($BE$4,Lab_Mat!$K$5:$N$5,0))*$N18*INDEX(Act_Type_Repex_Splits,MATCH($I18,Act_Type_Repex,0),MATCH(BD$4,Mat_Type,0))*INDEX(Escalators!$I$44:$U$49,MATCH(BD$4,Escalators!$C$44:$C$49,0),MATCH(BD$5,Escalators!$I$43:$U$43,0))</f>
        <v>314.02740164382891</v>
      </c>
      <c r="BE18" s="47">
        <f t="shared" si="36"/>
        <v>392.53425205478612</v>
      </c>
      <c r="BF18" s="47">
        <f>INDEX(Lab_Mat!$K$6:$N$9,MATCH($H18,Lab_Mat!$J$6:$J$9,0),MATCH($BK$4,Lab_Mat!$K$5:$N$5,0))*$O18*INDEX(Act_Type_Repex_Splits,MATCH($I18,Act_Type_Repex,0),MATCH(BF$4,Mat_Type,0))*INDEX(Escalators!$I$44:$U$49,MATCH(BF$4,Escalators!$C$44:$C$49,0),MATCH(BF$5,Escalators!$I$43:$U$43,0))</f>
        <v>0</v>
      </c>
      <c r="BG18" s="47">
        <f>INDEX(Lab_Mat!$K$6:$N$9,MATCH($H18,Lab_Mat!$J$6:$J$9,0),MATCH($BK$4,Lab_Mat!$K$5:$N$5,0))*$O18*INDEX(Act_Type_Repex_Splits,MATCH($I18,Act_Type_Repex,0),MATCH(BG$4,Mat_Type,0))*INDEX(Escalators!$I$44:$U$49,MATCH(BG$4,Escalators!$C$44:$C$49,0),MATCH(BG$5,Escalators!$I$43:$U$43,0))</f>
        <v>0</v>
      </c>
      <c r="BH18" s="47">
        <f>INDEX(Lab_Mat!$K$6:$N$9,MATCH($H18,Lab_Mat!$J$6:$J$9,0),MATCH($BK$4,Lab_Mat!$K$5:$N$5,0))*$O18*INDEX(Act_Type_Repex_Splits,MATCH($I18,Act_Type_Repex,0),MATCH(BH$4,Mat_Type,0))*INDEX(Escalators!$I$44:$U$49,MATCH(BH$4,Escalators!$C$44:$C$49,0),MATCH(BH$5,Escalators!$I$43:$U$43,0))</f>
        <v>0</v>
      </c>
      <c r="BI18" s="47">
        <f>INDEX(Lab_Mat!$K$6:$N$9,MATCH($H18,Lab_Mat!$J$6:$J$9,0),MATCH($BK$4,Lab_Mat!$K$5:$N$5,0))*$O18*INDEX(Act_Type_Repex_Splits,MATCH($I18,Act_Type_Repex,0),MATCH(BI$4,Mat_Type,0))*INDEX(Escalators!$I$44:$U$49,MATCH(BI$4,Escalators!$C$44:$C$49,0),MATCH(BI$5,Escalators!$I$43:$U$43,0))</f>
        <v>0</v>
      </c>
      <c r="BJ18" s="47">
        <f>INDEX(Lab_Mat!$K$6:$N$9,MATCH($H18,Lab_Mat!$J$6:$J$9,0),MATCH($BK$4,Lab_Mat!$K$5:$N$5,0))*$O18*INDEX(Act_Type_Repex_Splits,MATCH($I18,Act_Type_Repex,0),MATCH(BJ$4,Mat_Type,0))*INDEX(Escalators!$I$44:$U$49,MATCH(BJ$4,Escalators!$C$44:$C$49,0),MATCH(BJ$5,Escalators!$I$43:$U$43,0))</f>
        <v>0</v>
      </c>
      <c r="BK18" s="47">
        <f t="shared" si="37"/>
        <v>0</v>
      </c>
      <c r="BL18" s="47">
        <f>INDEX(Lab_Mat!$K$6:$N$9,MATCH($H18,Lab_Mat!$J$6:$J$9,0),MATCH($BQ$4,Lab_Mat!$K$5:$N$5,0))*$P18*INDEX(Act_Type_Repex_Splits,MATCH($I18,Act_Type_Repex,0),MATCH(BL$4,Mat_Type,0))*INDEX(Escalators!$I$44:$U$49,MATCH(BL$4,Escalators!$C$44:$C$49,0),MATCH(BL$5,Escalators!$I$43:$U$43,0))</f>
        <v>0</v>
      </c>
      <c r="BM18" s="47">
        <f>INDEX(Lab_Mat!$K$6:$N$9,MATCH($H18,Lab_Mat!$J$6:$J$9,0),MATCH($BQ$4,Lab_Mat!$K$5:$N$5,0))*$P18*INDEX(Act_Type_Repex_Splits,MATCH($I18,Act_Type_Repex,0),MATCH(BM$4,Mat_Type,0))*INDEX(Escalators!$I$44:$U$49,MATCH(BM$4,Escalators!$C$44:$C$49,0),MATCH(BM$5,Escalators!$I$43:$U$43,0))</f>
        <v>0</v>
      </c>
      <c r="BN18" s="47">
        <f>INDEX(Lab_Mat!$K$6:$N$9,MATCH($H18,Lab_Mat!$J$6:$J$9,0),MATCH($BQ$4,Lab_Mat!$K$5:$N$5,0))*$P18*INDEX(Act_Type_Repex_Splits,MATCH($I18,Act_Type_Repex,0),MATCH(BN$4,Mat_Type,0))*INDEX(Escalators!$I$44:$U$49,MATCH(BN$4,Escalators!$C$44:$C$49,0),MATCH(BN$5,Escalators!$I$43:$U$43,0))</f>
        <v>0</v>
      </c>
      <c r="BO18" s="47">
        <f>INDEX(Lab_Mat!$K$6:$N$9,MATCH($H18,Lab_Mat!$J$6:$J$9,0),MATCH($BQ$4,Lab_Mat!$K$5:$N$5,0))*$P18*INDEX(Act_Type_Repex_Splits,MATCH($I18,Act_Type_Repex,0),MATCH(BO$4,Mat_Type,0))*INDEX(Escalators!$I$44:$U$49,MATCH(BO$4,Escalators!$C$44:$C$49,0),MATCH(BO$5,Escalators!$I$43:$U$43,0))</f>
        <v>0</v>
      </c>
      <c r="BP18" s="47">
        <f>INDEX(Lab_Mat!$K$6:$N$9,MATCH($H18,Lab_Mat!$J$6:$J$9,0),MATCH($BQ$4,Lab_Mat!$K$5:$N$5,0))*$P18*INDEX(Act_Type_Repex_Splits,MATCH($I18,Act_Type_Repex,0),MATCH(BP$4,Mat_Type,0))*INDEX(Escalators!$I$44:$U$49,MATCH(BP$4,Escalators!$C$44:$C$49,0),MATCH(BP$5,Escalators!$I$43:$U$43,0))</f>
        <v>0</v>
      </c>
      <c r="BQ18" s="47">
        <f t="shared" si="38"/>
        <v>0</v>
      </c>
      <c r="BR18" s="47">
        <f>INDEX(Lab_Mat!$K$6:$N$9,MATCH($H18,Lab_Mat!$J$6:$J$9,0),MATCH($BW$4,Lab_Mat!$K$5:$N$5,0))*$Q18*INDEX(Act_Type_Repex_Splits,MATCH($I18,Act_Type_Repex,0),MATCH(BR$4,Mat_Type,0))*INDEX(Escalators!$I$44:$U$49,MATCH(BR$4,Escalators!$C$44:$C$49,0),MATCH(BR$5,Escalators!$I$43:$U$43,0))</f>
        <v>0</v>
      </c>
      <c r="BS18" s="47">
        <f>INDEX(Lab_Mat!$K$6:$N$9,MATCH($H18,Lab_Mat!$J$6:$J$9,0),MATCH($BW$4,Lab_Mat!$K$5:$N$5,0))*$Q18*INDEX(Act_Type_Repex_Splits,MATCH($I18,Act_Type_Repex,0),MATCH(BS$4,Mat_Type,0))*INDEX(Escalators!$I$44:$U$49,MATCH(BS$4,Escalators!$C$44:$C$49,0),MATCH(BS$5,Escalators!$I$43:$U$43,0))</f>
        <v>0</v>
      </c>
      <c r="BT18" s="47">
        <f>INDEX(Lab_Mat!$K$6:$N$9,MATCH($H18,Lab_Mat!$J$6:$J$9,0),MATCH($BW$4,Lab_Mat!$K$5:$N$5,0))*$Q18*INDEX(Act_Type_Repex_Splits,MATCH($I18,Act_Type_Repex,0),MATCH(BT$4,Mat_Type,0))*INDEX(Escalators!$I$44:$U$49,MATCH(BT$4,Escalators!$C$44:$C$49,0),MATCH(BT$5,Escalators!$I$43:$U$43,0))</f>
        <v>0</v>
      </c>
      <c r="BU18" s="47">
        <f>INDEX(Lab_Mat!$K$6:$N$9,MATCH($H18,Lab_Mat!$J$6:$J$9,0),MATCH($BW$4,Lab_Mat!$K$5:$N$5,0))*$Q18*INDEX(Act_Type_Repex_Splits,MATCH($I18,Act_Type_Repex,0),MATCH(BU$4,Mat_Type,0))*INDEX(Escalators!$I$44:$U$49,MATCH(BU$4,Escalators!$C$44:$C$49,0),MATCH(BU$5,Escalators!$I$43:$U$43,0))</f>
        <v>0</v>
      </c>
      <c r="BV18" s="47">
        <f>INDEX(Lab_Mat!$K$6:$N$9,MATCH($H18,Lab_Mat!$J$6:$J$9,0),MATCH($BW$4,Lab_Mat!$K$5:$N$5,0))*$Q18*INDEX(Act_Type_Repex_Splits,MATCH($I18,Act_Type_Repex,0),MATCH(BV$4,Mat_Type,0))*INDEX(Escalators!$I$44:$U$49,MATCH(BV$4,Escalators!$C$44:$C$49,0),MATCH(BV$5,Escalators!$I$43:$U$43,0))</f>
        <v>0</v>
      </c>
      <c r="BW18" s="47">
        <f t="shared" si="39"/>
        <v>0</v>
      </c>
      <c r="BY18" s="47">
        <f>INDEX(Lab_Mat!$K$6:$N$9,MATCH($H18,Lab_Mat!$J$6:$J$9,0),MATCH($BY$4,Lab_Mat!$K$5:$N$5,0))*J18*HLOOKUP(BY$5,Escalators!$I$25:$U$30,6,FALSE)</f>
        <v>0</v>
      </c>
      <c r="BZ18" s="47">
        <f>INDEX(Lab_Mat!$K$6:$N$9,MATCH($H18,Lab_Mat!$J$6:$J$9,0),MATCH($BY$4,Lab_Mat!$K$5:$N$5,0))*K18*HLOOKUP(BZ$5,Escalators!$I$25:$U$30,6,FALSE)</f>
        <v>0</v>
      </c>
      <c r="CA18" s="47">
        <f>INDEX(Lab_Mat!$K$6:$N$9,MATCH($H18,Lab_Mat!$J$6:$J$9,0),MATCH($BY$4,Lab_Mat!$K$5:$N$5,0))*L18*HLOOKUP(CA$5,Escalators!$I$25:$U$30,6,FALSE)</f>
        <v>0</v>
      </c>
      <c r="CB18" s="47">
        <f>INDEX(Lab_Mat!$K$6:$N$9,MATCH($H18,Lab_Mat!$J$6:$J$9,0),MATCH($BY$4,Lab_Mat!$K$5:$N$5,0))*M18*HLOOKUP(CB$5,Escalators!$I$25:$U$30,6,FALSE)</f>
        <v>344.2913172944227</v>
      </c>
      <c r="CC18" s="47">
        <f>INDEX(Lab_Mat!$K$6:$N$9,MATCH($H18,Lab_Mat!$J$6:$J$9,0),MATCH($BY$4,Lab_Mat!$K$5:$N$5,0))*N18*HLOOKUP(CC$5,Escalators!$I$25:$U$30,6,FALSE)</f>
        <v>148.73110435602521</v>
      </c>
      <c r="CD18" s="47">
        <f>INDEX(Lab_Mat!$K$6:$N$9,MATCH($H18,Lab_Mat!$J$6:$J$9,0),MATCH($BY$4,Lab_Mat!$K$5:$N$5,0))*O18*HLOOKUP(CD$5,Escalators!$I$25:$U$30,6,FALSE)</f>
        <v>0</v>
      </c>
      <c r="CE18" s="47">
        <f>INDEX(Lab_Mat!$K$6:$N$9,MATCH($H18,Lab_Mat!$J$6:$J$9,0),MATCH($BY$4,Lab_Mat!$K$5:$N$5,0))*P18*HLOOKUP(CE$5,Escalators!$I$25:$U$30,6,FALSE)</f>
        <v>0</v>
      </c>
      <c r="CF18" s="47">
        <f>INDEX(Lab_Mat!$K$6:$N$9,MATCH($H18,Lab_Mat!$J$6:$J$9,0),MATCH($BY$4,Lab_Mat!$K$5:$N$5,0))*Q18*HLOOKUP(CF$5,Escalators!$I$25:$U$30,6,FALSE)</f>
        <v>0</v>
      </c>
      <c r="CH18" s="47">
        <f>INDEX(Lab_Mat!$K$6:$N$9,MATCH($H18,Lab_Mat!$J$6:$J$9,0),MATCH($CH$4,Lab_Mat!$K$5:$N$5,0))*J18</f>
        <v>0</v>
      </c>
      <c r="CI18" s="47">
        <f>INDEX(Lab_Mat!$K$6:$N$9,MATCH($H18,Lab_Mat!$J$6:$J$9,0),MATCH($CH$4,Lab_Mat!$K$5:$N$5,0))*K18</f>
        <v>0</v>
      </c>
      <c r="CJ18" s="47">
        <f>INDEX(Lab_Mat!$K$6:$N$9,MATCH($H18,Lab_Mat!$J$6:$J$9,0),MATCH($CH$4,Lab_Mat!$K$5:$N$5,0))*L18</f>
        <v>0</v>
      </c>
      <c r="CK18" s="47">
        <f>INDEX(Lab_Mat!$K$6:$N$9,MATCH($H18,Lab_Mat!$J$6:$J$9,0),MATCH($CH$4,Lab_Mat!$K$5:$N$5,0))*M18</f>
        <v>132.55995480867651</v>
      </c>
      <c r="CL18" s="47">
        <f>INDEX(Lab_Mat!$K$6:$N$9,MATCH($H18,Lab_Mat!$J$6:$J$9,0),MATCH($CH$4,Lab_Mat!$K$5:$N$5,0))*N18</f>
        <v>56.683264212063797</v>
      </c>
      <c r="CM18" s="47">
        <f>INDEX(Lab_Mat!$K$6:$N$9,MATCH($H18,Lab_Mat!$J$6:$J$9,0),MATCH($CH$4,Lab_Mat!$K$5:$N$5,0))*O18</f>
        <v>0</v>
      </c>
      <c r="CN18" s="47">
        <f>INDEX(Lab_Mat!$K$6:$N$9,MATCH($H18,Lab_Mat!$J$6:$J$9,0),MATCH($CH$4,Lab_Mat!$K$5:$N$5,0))*P18</f>
        <v>0</v>
      </c>
      <c r="CO18" s="47">
        <f>INDEX(Lab_Mat!$K$6:$N$9,MATCH($H18,Lab_Mat!$J$6:$J$9,0),MATCH($CH$4,Lab_Mat!$K$5:$N$5,0))*Q18</f>
        <v>0</v>
      </c>
      <c r="CQ18" s="47">
        <f t="shared" si="24"/>
        <v>0</v>
      </c>
      <c r="CR18" s="47">
        <f t="shared" si="25"/>
        <v>0</v>
      </c>
      <c r="CS18" s="47">
        <f t="shared" si="26"/>
        <v>0</v>
      </c>
      <c r="CT18" s="47">
        <f t="shared" si="27"/>
        <v>1716.9705125668725</v>
      </c>
      <c r="CU18" s="47">
        <f t="shared" si="28"/>
        <v>737.10852901307851</v>
      </c>
      <c r="CV18" s="47">
        <f t="shared" si="29"/>
        <v>0</v>
      </c>
      <c r="CW18" s="47">
        <f t="shared" si="30"/>
        <v>0</v>
      </c>
      <c r="CX18" s="47">
        <f t="shared" si="31"/>
        <v>0</v>
      </c>
      <c r="CY18" s="39"/>
      <c r="CZ18" s="39"/>
      <c r="DA18" s="39"/>
      <c r="DB18" s="39"/>
      <c r="DC18" s="39"/>
    </row>
    <row r="19" spans="2:109" x14ac:dyDescent="0.3">
      <c r="B19" s="7"/>
      <c r="C19" s="7" t="s">
        <v>415</v>
      </c>
      <c r="D19" s="7" t="s">
        <v>693</v>
      </c>
      <c r="E19" s="7" t="s">
        <v>48</v>
      </c>
      <c r="F19" s="7" t="s">
        <v>55</v>
      </c>
      <c r="G19" s="7" t="s">
        <v>150</v>
      </c>
      <c r="H19" s="7" t="s">
        <v>750</v>
      </c>
      <c r="I19" s="7" t="s">
        <v>204</v>
      </c>
      <c r="J19" s="45"/>
      <c r="K19" s="45"/>
      <c r="L19" s="45"/>
      <c r="M19" s="45">
        <v>34.605539141654027</v>
      </c>
      <c r="N19" s="45">
        <v>14.797492358822831</v>
      </c>
      <c r="O19" s="45">
        <v>0</v>
      </c>
      <c r="P19" s="45"/>
      <c r="Q19" s="45"/>
      <c r="S19" s="47">
        <f>INDEX(Lab_Mat!$K$6:$N$9,MATCH($H19,Lab_Mat!$J$6:$J$9,0),MATCH($S$4,Lab_Mat!$K$5:$N$5,0))*J19*HLOOKUP(S$5,Escalators!$I$25:$U$30,3,FALSE)</f>
        <v>0</v>
      </c>
      <c r="T19" s="47">
        <f>INDEX(Lab_Mat!$K$6:$N$9,MATCH($H19,Lab_Mat!$J$6:$J$9,0),MATCH($S$4,Lab_Mat!$K$5:$N$5,0))*K19*HLOOKUP(T$5,Escalators!$I$25:$U$30,3,FALSE)</f>
        <v>0</v>
      </c>
      <c r="U19" s="47">
        <f>INDEX(Lab_Mat!$K$6:$N$9,MATCH($H19,Lab_Mat!$J$6:$J$9,0),MATCH($S$4,Lab_Mat!$K$5:$N$5,0))*L19*HLOOKUP(U$5,Escalators!$I$25:$U$30,3,FALSE)</f>
        <v>0</v>
      </c>
      <c r="V19" s="47">
        <f>INDEX(Lab_Mat!$K$6:$N$9,MATCH($H19,Lab_Mat!$J$6:$J$9,0),MATCH($S$4,Lab_Mat!$K$5:$N$5,0))*M19*HLOOKUP(V$5,Escalators!$I$25:$U$30,3,FALSE)</f>
        <v>6.5741910655942908</v>
      </c>
      <c r="W19" s="47">
        <f>INDEX(Lab_Mat!$K$6:$N$9,MATCH($H19,Lab_Mat!$J$6:$J$9,0),MATCH($S$4,Lab_Mat!$K$5:$N$5,0))*N19*HLOOKUP(W$5,Escalators!$I$25:$U$30,3,FALSE)</f>
        <v>2.8399981304123134</v>
      </c>
      <c r="X19" s="47">
        <f>INDEX(Lab_Mat!$K$6:$N$9,MATCH($H19,Lab_Mat!$J$6:$J$9,0),MATCH($S$4,Lab_Mat!$K$5:$N$5,0))*O19*HLOOKUP(X$5,Escalators!$I$25:$U$30,3,FALSE)</f>
        <v>0</v>
      </c>
      <c r="Y19" s="47">
        <f>INDEX(Lab_Mat!$K$6:$N$9,MATCH($H19,Lab_Mat!$J$6:$J$9,0),MATCH($S$4,Lab_Mat!$K$5:$N$5,0))*P19*HLOOKUP(Y$5,Escalators!$I$25:$U$30,3,FALSE)</f>
        <v>0</v>
      </c>
      <c r="Z19" s="47">
        <f>INDEX(Lab_Mat!$K$6:$N$9,MATCH($H19,Lab_Mat!$J$6:$J$9,0),MATCH($S$4,Lab_Mat!$K$5:$N$5,0))*Q19*HLOOKUP(Z$5,Escalators!$I$25:$U$30,3,FALSE)</f>
        <v>0</v>
      </c>
      <c r="AB19" s="47">
        <f>INDEX(Lab_Mat!$K$6:$N$9,MATCH($H19,Lab_Mat!$J$6:$J$9,0),MATCH($AG$4,Lab_Mat!$K$5:$N$5,0))*$J19*INDEX(Act_Type_Repex_Splits,MATCH($I19,Act_Type_Repex,0),MATCH(AB$4,Mat_Type,0))*INDEX(Escalators!$I$44:$Q$49,MATCH(AB$4,Escalators!$C$44:$C$49,0),MATCH(AB$5,Escalators!$I$43:$Q$43,0))</f>
        <v>0</v>
      </c>
      <c r="AC19" s="47">
        <f>INDEX(Lab_Mat!$K$6:$N$9,MATCH($H19,Lab_Mat!$J$6:$J$9,0),MATCH($AG$4,Lab_Mat!$K$5:$N$5,0))*$J19*INDEX(Act_Type_Repex_Splits,MATCH($I19,Act_Type_Repex,0),MATCH(AC$4,Mat_Type,0))*INDEX(Escalators!$I$44:$Q$49,MATCH(AC$4,Escalators!$C$44:$C$49,0),MATCH(AC$5,Escalators!$I$43:$Q$43,0))</f>
        <v>0</v>
      </c>
      <c r="AD19" s="47">
        <f>INDEX(Lab_Mat!$K$6:$N$9,MATCH($H19,Lab_Mat!$J$6:$J$9,0),MATCH($AG$4,Lab_Mat!$K$5:$N$5,0))*$J19*INDEX(Act_Type_Repex_Splits,MATCH($I19,Act_Type_Repex,0),MATCH(AD$4,Mat_Type,0))*INDEX(Escalators!$I$44:$Q$49,MATCH(AD$4,Escalators!$C$44:$C$49,0),MATCH(AD$5,Escalators!$I$43:$Q$43,0))</f>
        <v>0</v>
      </c>
      <c r="AE19" s="47">
        <f>INDEX(Lab_Mat!$K$6:$N$9,MATCH($H19,Lab_Mat!$J$6:$J$9,0),MATCH($AG$4,Lab_Mat!$K$5:$N$5,0))*$J19*INDEX(Act_Type_Repex_Splits,MATCH($I19,Act_Type_Repex,0),MATCH(AE$4,Mat_Type,0))*INDEX(Escalators!$I$44:$Q$49,MATCH(AE$4,Escalators!$C$44:$C$49,0),MATCH(AE$5,Escalators!$I$43:$Q$43,0))</f>
        <v>0</v>
      </c>
      <c r="AF19" s="47">
        <f>INDEX(Lab_Mat!$K$6:$N$9,MATCH($H19,Lab_Mat!$J$6:$J$9,0),MATCH($AG$4,Lab_Mat!$K$5:$N$5,0))*$J19*INDEX(Act_Type_Repex_Splits,MATCH($I19,Act_Type_Repex,0),MATCH(AF$4,Mat_Type,0))*INDEX(Escalators!$I$44:$Q$49,MATCH(AF$4,Escalators!$C$44:$C$49,0),MATCH(AF$5,Escalators!$I$43:$Q$43,0))</f>
        <v>0</v>
      </c>
      <c r="AG19" s="47">
        <f t="shared" si="32"/>
        <v>0</v>
      </c>
      <c r="AH19" s="47">
        <f>INDEX(Lab_Mat!$K$6:$N$9,MATCH($H19,Lab_Mat!$J$6:$J$9,0),MATCH($AY$4,Lab_Mat!$K$5:$N$5,0))*$K19*INDEX(Act_Type_Repex_Splits,MATCH($I19,Act_Type_Repex,0),MATCH(AH$4,Mat_Type,0))*INDEX(Escalators!$I$44:$U$49,MATCH(AH$4,Escalators!$C$44:$C$49,0),MATCH(AH$5,Escalators!$I$43:$U$43,0))</f>
        <v>0</v>
      </c>
      <c r="AI19" s="47">
        <f>INDEX(Lab_Mat!$K$6:$N$9,MATCH($H19,Lab_Mat!$J$6:$J$9,0),MATCH($AY$4,Lab_Mat!$K$5:$N$5,0))*$K19*INDEX(Act_Type_Repex_Splits,MATCH($I19,Act_Type_Repex,0),MATCH(AI$4,Mat_Type,0))*INDEX(Escalators!$I$44:$U$49,MATCH(AI$4,Escalators!$C$44:$C$49,0),MATCH(AI$5,Escalators!$I$43:$U$43,0))</f>
        <v>0</v>
      </c>
      <c r="AJ19" s="47">
        <f>INDEX(Lab_Mat!$K$6:$N$9,MATCH($H19,Lab_Mat!$J$6:$J$9,0),MATCH($AY$4,Lab_Mat!$K$5:$N$5,0))*$K19*INDEX(Act_Type_Repex_Splits,MATCH($I19,Act_Type_Repex,0),MATCH(AJ$4,Mat_Type,0))*INDEX(Escalators!$I$44:$U$49,MATCH(AJ$4,Escalators!$C$44:$C$49,0),MATCH(AJ$5,Escalators!$I$43:$U$43,0))</f>
        <v>0</v>
      </c>
      <c r="AK19" s="47">
        <f>INDEX(Lab_Mat!$K$6:$N$9,MATCH($H19,Lab_Mat!$J$6:$J$9,0),MATCH($AY$4,Lab_Mat!$K$5:$N$5,0))*$K19*INDEX(Act_Type_Repex_Splits,MATCH($I19,Act_Type_Repex,0),MATCH(AK$4,Mat_Type,0))*INDEX(Escalators!$I$44:$U$49,MATCH(AK$4,Escalators!$C$44:$C$49,0),MATCH(AK$5,Escalators!$I$43:$U$43,0))</f>
        <v>0</v>
      </c>
      <c r="AL19" s="47">
        <f>INDEX(Lab_Mat!$K$6:$N$9,MATCH($H19,Lab_Mat!$J$6:$J$9,0),MATCH($AY$4,Lab_Mat!$K$5:$N$5,0))*$K19*INDEX(Act_Type_Repex_Splits,MATCH($I19,Act_Type_Repex,0),MATCH(AL$4,Mat_Type,0))*INDEX(Escalators!$I$44:$U$49,MATCH(AL$4,Escalators!$C$44:$C$49,0),MATCH(AL$5,Escalators!$I$43:$U$43,0))</f>
        <v>0</v>
      </c>
      <c r="AM19" s="47">
        <f t="shared" si="33"/>
        <v>0</v>
      </c>
      <c r="AN19" s="47">
        <f>INDEX(Lab_Mat!$K$6:$N$9,MATCH($H19,Lab_Mat!$J$6:$J$9,0),MATCH($AY$4,Lab_Mat!$K$5:$N$5,0))*$L19*INDEX(Act_Type_Repex_Splits,MATCH($I19,Act_Type_Repex,0),MATCH(AN$4,Mat_Type,0))*INDEX(Escalators!$I$44:$U$49,MATCH(AN$4,Escalators!$C$44:$C$49,0),MATCH(AN$5,Escalators!$I$43:$U$43,0))</f>
        <v>0</v>
      </c>
      <c r="AO19" s="47">
        <f>INDEX(Lab_Mat!$K$6:$N$9,MATCH($H19,Lab_Mat!$J$6:$J$9,0),MATCH($AY$4,Lab_Mat!$K$5:$N$5,0))*$L19*INDEX(Act_Type_Repex_Splits,MATCH($I19,Act_Type_Repex,0),MATCH(AO$4,Mat_Type,0))*INDEX(Escalators!$I$44:$U$49,MATCH(AO$4,Escalators!$C$44:$C$49,0),MATCH(AO$5,Escalators!$I$43:$U$43,0))</f>
        <v>0</v>
      </c>
      <c r="AP19" s="47">
        <f>INDEX(Lab_Mat!$K$6:$N$9,MATCH($H19,Lab_Mat!$J$6:$J$9,0),MATCH($AY$4,Lab_Mat!$K$5:$N$5,0))*$L19*INDEX(Act_Type_Repex_Splits,MATCH($I19,Act_Type_Repex,0),MATCH(AP$4,Mat_Type,0))*INDEX(Escalators!$I$44:$U$49,MATCH(AP$4,Escalators!$C$44:$C$49,0),MATCH(AP$5,Escalators!$I$43:$U$43,0))</f>
        <v>0</v>
      </c>
      <c r="AQ19" s="47">
        <f>INDEX(Lab_Mat!$K$6:$N$9,MATCH($H19,Lab_Mat!$J$6:$J$9,0),MATCH($AY$4,Lab_Mat!$K$5:$N$5,0))*$L19*INDEX(Act_Type_Repex_Splits,MATCH($I19,Act_Type_Repex,0),MATCH(AQ$4,Mat_Type,0))*INDEX(Escalators!$I$44:$U$49,MATCH(AQ$4,Escalators!$C$44:$C$49,0),MATCH(AQ$5,Escalators!$I$43:$U$43,0))</f>
        <v>0</v>
      </c>
      <c r="AR19" s="47">
        <f>INDEX(Lab_Mat!$K$6:$N$9,MATCH($H19,Lab_Mat!$J$6:$J$9,0),MATCH($AY$4,Lab_Mat!$K$5:$N$5,0))*$L19*INDEX(Act_Type_Repex_Splits,MATCH($I19,Act_Type_Repex,0),MATCH(AR$4,Mat_Type,0))*INDEX(Escalators!$I$44:$U$49,MATCH(AR$4,Escalators!$C$44:$C$49,0),MATCH(AR$5,Escalators!$I$43:$U$43,0))</f>
        <v>0</v>
      </c>
      <c r="AS19" s="47">
        <f t="shared" si="34"/>
        <v>0</v>
      </c>
      <c r="AT19" s="47">
        <f>INDEX(Lab_Mat!$K$6:$N$9,MATCH($H19,Lab_Mat!$J$6:$J$9,0),MATCH($AY$4,Lab_Mat!$K$5:$N$5,0))*$M19*INDEX(Act_Type_Repex_Splits,MATCH($I19,Act_Type_Repex,0),MATCH(AT$4,Mat_Type,0))*INDEX(Escalators!$I$44:$U$49,MATCH(AT$4,Escalators!$C$44:$C$49,0),MATCH(AT$5,Escalators!$I$43:$U$43,0))</f>
        <v>0</v>
      </c>
      <c r="AU19" s="47">
        <f>INDEX(Lab_Mat!$K$6:$N$9,MATCH($H19,Lab_Mat!$J$6:$J$9,0),MATCH($AY$4,Lab_Mat!$K$5:$N$5,0))*$M19*INDEX(Act_Type_Repex_Splits,MATCH($I19,Act_Type_Repex,0),MATCH(AU$4,Mat_Type,0))*INDEX(Escalators!$I$44:$U$49,MATCH(AU$4,Escalators!$C$44:$C$49,0),MATCH(AU$5,Escalators!$I$43:$U$43,0))</f>
        <v>0</v>
      </c>
      <c r="AV19" s="47">
        <f>INDEX(Lab_Mat!$K$6:$N$9,MATCH($H19,Lab_Mat!$J$6:$J$9,0),MATCH($AY$4,Lab_Mat!$K$5:$N$5,0))*$M19*INDEX(Act_Type_Repex_Splits,MATCH($I19,Act_Type_Repex,0),MATCH(AV$4,Mat_Type,0))*INDEX(Escalators!$I$44:$U$49,MATCH(AV$4,Escalators!$C$44:$C$49,0),MATCH(AV$5,Escalators!$I$43:$U$43,0))</f>
        <v>3.7468729724475631</v>
      </c>
      <c r="AW19" s="47">
        <f>INDEX(Lab_Mat!$K$6:$N$9,MATCH($H19,Lab_Mat!$J$6:$J$9,0),MATCH($AY$4,Lab_Mat!$K$5:$N$5,0))*$M19*INDEX(Act_Type_Repex_Splits,MATCH($I19,Act_Type_Repex,0),MATCH(AW$4,Mat_Type,0))*INDEX(Escalators!$I$44:$U$49,MATCH(AW$4,Escalators!$C$44:$C$49,0),MATCH(AW$5,Escalators!$I$43:$U$43,0))</f>
        <v>0</v>
      </c>
      <c r="AX19" s="47">
        <f>INDEX(Lab_Mat!$K$6:$N$9,MATCH($H19,Lab_Mat!$J$6:$J$9,0),MATCH($AY$4,Lab_Mat!$K$5:$N$5,0))*$M19*INDEX(Act_Type_Repex_Splits,MATCH($I19,Act_Type_Repex,0),MATCH(AX$4,Mat_Type,0))*INDEX(Escalators!$I$44:$U$49,MATCH(AX$4,Escalators!$C$44:$C$49,0),MATCH(AX$5,Escalators!$I$43:$U$43,0))</f>
        <v>14.987491889790252</v>
      </c>
      <c r="AY19" s="47">
        <f t="shared" si="35"/>
        <v>18.734364862237815</v>
      </c>
      <c r="AZ19" s="47">
        <f>INDEX(Lab_Mat!$K$6:$N$9,MATCH($H19,Lab_Mat!$J$6:$J$9,0),MATCH($BE$4,Lab_Mat!$K$5:$N$5,0))*$N19*INDEX(Act_Type_Repex_Splits,MATCH($I19,Act_Type_Repex,0),MATCH(AZ$4,Mat_Type,0))*INDEX(Escalators!$I$44:$U$49,MATCH(AZ$4,Escalators!$C$44:$C$49,0),MATCH(AZ$5,Escalators!$I$43:$U$43,0))</f>
        <v>0</v>
      </c>
      <c r="BA19" s="47">
        <f>INDEX(Lab_Mat!$K$6:$N$9,MATCH($H19,Lab_Mat!$J$6:$J$9,0),MATCH($BE$4,Lab_Mat!$K$5:$N$5,0))*$N19*INDEX(Act_Type_Repex_Splits,MATCH($I19,Act_Type_Repex,0),MATCH(BA$4,Mat_Type,0))*INDEX(Escalators!$I$44:$U$49,MATCH(BA$4,Escalators!$C$44:$C$49,0),MATCH(BA$5,Escalators!$I$43:$U$43,0))</f>
        <v>0</v>
      </c>
      <c r="BB19" s="47">
        <f>INDEX(Lab_Mat!$K$6:$N$9,MATCH($H19,Lab_Mat!$J$6:$J$9,0),MATCH($BE$4,Lab_Mat!$K$5:$N$5,0))*$N19*INDEX(Act_Type_Repex_Splits,MATCH($I19,Act_Type_Repex,0),MATCH(BB$4,Mat_Type,0))*INDEX(Escalators!$I$44:$U$49,MATCH(BB$4,Escalators!$C$44:$C$49,0),MATCH(BB$5,Escalators!$I$43:$U$43,0))</f>
        <v>1.6021806206317799</v>
      </c>
      <c r="BC19" s="47">
        <f>INDEX(Lab_Mat!$K$6:$N$9,MATCH($H19,Lab_Mat!$J$6:$J$9,0),MATCH($BE$4,Lab_Mat!$K$5:$N$5,0))*$N19*INDEX(Act_Type_Repex_Splits,MATCH($I19,Act_Type_Repex,0),MATCH(BC$4,Mat_Type,0))*INDEX(Escalators!$I$44:$U$49,MATCH(BC$4,Escalators!$C$44:$C$49,0),MATCH(BC$5,Escalators!$I$43:$U$43,0))</f>
        <v>0</v>
      </c>
      <c r="BD19" s="47">
        <f>INDEX(Lab_Mat!$K$6:$N$9,MATCH($H19,Lab_Mat!$J$6:$J$9,0),MATCH($BE$4,Lab_Mat!$K$5:$N$5,0))*$N19*INDEX(Act_Type_Repex_Splits,MATCH($I19,Act_Type_Repex,0),MATCH(BD$4,Mat_Type,0))*INDEX(Escalators!$I$44:$U$49,MATCH(BD$4,Escalators!$C$44:$C$49,0),MATCH(BD$5,Escalators!$I$43:$U$43,0))</f>
        <v>6.4087224825271196</v>
      </c>
      <c r="BE19" s="47">
        <f t="shared" si="36"/>
        <v>8.0109031031588991</v>
      </c>
      <c r="BF19" s="47">
        <f>INDEX(Lab_Mat!$K$6:$N$9,MATCH($H19,Lab_Mat!$J$6:$J$9,0),MATCH($BK$4,Lab_Mat!$K$5:$N$5,0))*$O19*INDEX(Act_Type_Repex_Splits,MATCH($I19,Act_Type_Repex,0),MATCH(BF$4,Mat_Type,0))*INDEX(Escalators!$I$44:$U$49,MATCH(BF$4,Escalators!$C$44:$C$49,0),MATCH(BF$5,Escalators!$I$43:$U$43,0))</f>
        <v>0</v>
      </c>
      <c r="BG19" s="47">
        <f>INDEX(Lab_Mat!$K$6:$N$9,MATCH($H19,Lab_Mat!$J$6:$J$9,0),MATCH($BK$4,Lab_Mat!$K$5:$N$5,0))*$O19*INDEX(Act_Type_Repex_Splits,MATCH($I19,Act_Type_Repex,0),MATCH(BG$4,Mat_Type,0))*INDEX(Escalators!$I$44:$U$49,MATCH(BG$4,Escalators!$C$44:$C$49,0),MATCH(BG$5,Escalators!$I$43:$U$43,0))</f>
        <v>0</v>
      </c>
      <c r="BH19" s="47">
        <f>INDEX(Lab_Mat!$K$6:$N$9,MATCH($H19,Lab_Mat!$J$6:$J$9,0),MATCH($BK$4,Lab_Mat!$K$5:$N$5,0))*$O19*INDEX(Act_Type_Repex_Splits,MATCH($I19,Act_Type_Repex,0),MATCH(BH$4,Mat_Type,0))*INDEX(Escalators!$I$44:$U$49,MATCH(BH$4,Escalators!$C$44:$C$49,0),MATCH(BH$5,Escalators!$I$43:$U$43,0))</f>
        <v>0</v>
      </c>
      <c r="BI19" s="47">
        <f>INDEX(Lab_Mat!$K$6:$N$9,MATCH($H19,Lab_Mat!$J$6:$J$9,0),MATCH($BK$4,Lab_Mat!$K$5:$N$5,0))*$O19*INDEX(Act_Type_Repex_Splits,MATCH($I19,Act_Type_Repex,0),MATCH(BI$4,Mat_Type,0))*INDEX(Escalators!$I$44:$U$49,MATCH(BI$4,Escalators!$C$44:$C$49,0),MATCH(BI$5,Escalators!$I$43:$U$43,0))</f>
        <v>0</v>
      </c>
      <c r="BJ19" s="47">
        <f>INDEX(Lab_Mat!$K$6:$N$9,MATCH($H19,Lab_Mat!$J$6:$J$9,0),MATCH($BK$4,Lab_Mat!$K$5:$N$5,0))*$O19*INDEX(Act_Type_Repex_Splits,MATCH($I19,Act_Type_Repex,0),MATCH(BJ$4,Mat_Type,0))*INDEX(Escalators!$I$44:$U$49,MATCH(BJ$4,Escalators!$C$44:$C$49,0),MATCH(BJ$5,Escalators!$I$43:$U$43,0))</f>
        <v>0</v>
      </c>
      <c r="BK19" s="47">
        <f t="shared" si="37"/>
        <v>0</v>
      </c>
      <c r="BL19" s="47">
        <f>INDEX(Lab_Mat!$K$6:$N$9,MATCH($H19,Lab_Mat!$J$6:$J$9,0),MATCH($BQ$4,Lab_Mat!$K$5:$N$5,0))*$P19*INDEX(Act_Type_Repex_Splits,MATCH($I19,Act_Type_Repex,0),MATCH(BL$4,Mat_Type,0))*INDEX(Escalators!$I$44:$U$49,MATCH(BL$4,Escalators!$C$44:$C$49,0),MATCH(BL$5,Escalators!$I$43:$U$43,0))</f>
        <v>0</v>
      </c>
      <c r="BM19" s="47">
        <f>INDEX(Lab_Mat!$K$6:$N$9,MATCH($H19,Lab_Mat!$J$6:$J$9,0),MATCH($BQ$4,Lab_Mat!$K$5:$N$5,0))*$P19*INDEX(Act_Type_Repex_Splits,MATCH($I19,Act_Type_Repex,0),MATCH(BM$4,Mat_Type,0))*INDEX(Escalators!$I$44:$U$49,MATCH(BM$4,Escalators!$C$44:$C$49,0),MATCH(BM$5,Escalators!$I$43:$U$43,0))</f>
        <v>0</v>
      </c>
      <c r="BN19" s="47">
        <f>INDEX(Lab_Mat!$K$6:$N$9,MATCH($H19,Lab_Mat!$J$6:$J$9,0),MATCH($BQ$4,Lab_Mat!$K$5:$N$5,0))*$P19*INDEX(Act_Type_Repex_Splits,MATCH($I19,Act_Type_Repex,0),MATCH(BN$4,Mat_Type,0))*INDEX(Escalators!$I$44:$U$49,MATCH(BN$4,Escalators!$C$44:$C$49,0),MATCH(BN$5,Escalators!$I$43:$U$43,0))</f>
        <v>0</v>
      </c>
      <c r="BO19" s="47">
        <f>INDEX(Lab_Mat!$K$6:$N$9,MATCH($H19,Lab_Mat!$J$6:$J$9,0),MATCH($BQ$4,Lab_Mat!$K$5:$N$5,0))*$P19*INDEX(Act_Type_Repex_Splits,MATCH($I19,Act_Type_Repex,0),MATCH(BO$4,Mat_Type,0))*INDEX(Escalators!$I$44:$U$49,MATCH(BO$4,Escalators!$C$44:$C$49,0),MATCH(BO$5,Escalators!$I$43:$U$43,0))</f>
        <v>0</v>
      </c>
      <c r="BP19" s="47">
        <f>INDEX(Lab_Mat!$K$6:$N$9,MATCH($H19,Lab_Mat!$J$6:$J$9,0),MATCH($BQ$4,Lab_Mat!$K$5:$N$5,0))*$P19*INDEX(Act_Type_Repex_Splits,MATCH($I19,Act_Type_Repex,0),MATCH(BP$4,Mat_Type,0))*INDEX(Escalators!$I$44:$U$49,MATCH(BP$4,Escalators!$C$44:$C$49,0),MATCH(BP$5,Escalators!$I$43:$U$43,0))</f>
        <v>0</v>
      </c>
      <c r="BQ19" s="47">
        <f t="shared" si="38"/>
        <v>0</v>
      </c>
      <c r="BR19" s="47">
        <f>INDEX(Lab_Mat!$K$6:$N$9,MATCH($H19,Lab_Mat!$J$6:$J$9,0),MATCH($BW$4,Lab_Mat!$K$5:$N$5,0))*$Q19*INDEX(Act_Type_Repex_Splits,MATCH($I19,Act_Type_Repex,0),MATCH(BR$4,Mat_Type,0))*INDEX(Escalators!$I$44:$U$49,MATCH(BR$4,Escalators!$C$44:$C$49,0),MATCH(BR$5,Escalators!$I$43:$U$43,0))</f>
        <v>0</v>
      </c>
      <c r="BS19" s="47">
        <f>INDEX(Lab_Mat!$K$6:$N$9,MATCH($H19,Lab_Mat!$J$6:$J$9,0),MATCH($BW$4,Lab_Mat!$K$5:$N$5,0))*$Q19*INDEX(Act_Type_Repex_Splits,MATCH($I19,Act_Type_Repex,0),MATCH(BS$4,Mat_Type,0))*INDEX(Escalators!$I$44:$U$49,MATCH(BS$4,Escalators!$C$44:$C$49,0),MATCH(BS$5,Escalators!$I$43:$U$43,0))</f>
        <v>0</v>
      </c>
      <c r="BT19" s="47">
        <f>INDEX(Lab_Mat!$K$6:$N$9,MATCH($H19,Lab_Mat!$J$6:$J$9,0),MATCH($BW$4,Lab_Mat!$K$5:$N$5,0))*$Q19*INDEX(Act_Type_Repex_Splits,MATCH($I19,Act_Type_Repex,0),MATCH(BT$4,Mat_Type,0))*INDEX(Escalators!$I$44:$U$49,MATCH(BT$4,Escalators!$C$44:$C$49,0),MATCH(BT$5,Escalators!$I$43:$U$43,0))</f>
        <v>0</v>
      </c>
      <c r="BU19" s="47">
        <f>INDEX(Lab_Mat!$K$6:$N$9,MATCH($H19,Lab_Mat!$J$6:$J$9,0),MATCH($BW$4,Lab_Mat!$K$5:$N$5,0))*$Q19*INDEX(Act_Type_Repex_Splits,MATCH($I19,Act_Type_Repex,0),MATCH(BU$4,Mat_Type,0))*INDEX(Escalators!$I$44:$U$49,MATCH(BU$4,Escalators!$C$44:$C$49,0),MATCH(BU$5,Escalators!$I$43:$U$43,0))</f>
        <v>0</v>
      </c>
      <c r="BV19" s="47">
        <f>INDEX(Lab_Mat!$K$6:$N$9,MATCH($H19,Lab_Mat!$J$6:$J$9,0),MATCH($BW$4,Lab_Mat!$K$5:$N$5,0))*$Q19*INDEX(Act_Type_Repex_Splits,MATCH($I19,Act_Type_Repex,0),MATCH(BV$4,Mat_Type,0))*INDEX(Escalators!$I$44:$U$49,MATCH(BV$4,Escalators!$C$44:$C$49,0),MATCH(BV$5,Escalators!$I$43:$U$43,0))</f>
        <v>0</v>
      </c>
      <c r="BW19" s="47">
        <f t="shared" si="39"/>
        <v>0</v>
      </c>
      <c r="BY19" s="47">
        <f>INDEX(Lab_Mat!$K$6:$N$9,MATCH($H19,Lab_Mat!$J$6:$J$9,0),MATCH($BY$4,Lab_Mat!$K$5:$N$5,0))*J19*HLOOKUP(BY$5,Escalators!$I$25:$U$30,6,FALSE)</f>
        <v>0</v>
      </c>
      <c r="BZ19" s="47">
        <f>INDEX(Lab_Mat!$K$6:$N$9,MATCH($H19,Lab_Mat!$J$6:$J$9,0),MATCH($BY$4,Lab_Mat!$K$5:$N$5,0))*K19*HLOOKUP(BZ$5,Escalators!$I$25:$U$30,6,FALSE)</f>
        <v>0</v>
      </c>
      <c r="CA19" s="47">
        <f>INDEX(Lab_Mat!$K$6:$N$9,MATCH($H19,Lab_Mat!$J$6:$J$9,0),MATCH($BY$4,Lab_Mat!$K$5:$N$5,0))*L19*HLOOKUP(CA$5,Escalators!$I$25:$U$30,6,FALSE)</f>
        <v>0</v>
      </c>
      <c r="CB19" s="47">
        <f>INDEX(Lab_Mat!$K$6:$N$9,MATCH($H19,Lab_Mat!$J$6:$J$9,0),MATCH($BY$4,Lab_Mat!$K$5:$N$5,0))*M19*HLOOKUP(CB$5,Escalators!$I$25:$U$30,6,FALSE)</f>
        <v>7.0263534141718917</v>
      </c>
      <c r="CC19" s="47">
        <f>INDEX(Lab_Mat!$K$6:$N$9,MATCH($H19,Lab_Mat!$J$6:$J$9,0),MATCH($BY$4,Lab_Mat!$K$5:$N$5,0))*N19*HLOOKUP(CC$5,Escalators!$I$25:$U$30,6,FALSE)</f>
        <v>3.0353286603270453</v>
      </c>
      <c r="CD19" s="47">
        <f>INDEX(Lab_Mat!$K$6:$N$9,MATCH($H19,Lab_Mat!$J$6:$J$9,0),MATCH($BY$4,Lab_Mat!$K$5:$N$5,0))*O19*HLOOKUP(CD$5,Escalators!$I$25:$U$30,6,FALSE)</f>
        <v>0</v>
      </c>
      <c r="CE19" s="47">
        <f>INDEX(Lab_Mat!$K$6:$N$9,MATCH($H19,Lab_Mat!$J$6:$J$9,0),MATCH($BY$4,Lab_Mat!$K$5:$N$5,0))*P19*HLOOKUP(CE$5,Escalators!$I$25:$U$30,6,FALSE)</f>
        <v>0</v>
      </c>
      <c r="CF19" s="47">
        <f>INDEX(Lab_Mat!$K$6:$N$9,MATCH($H19,Lab_Mat!$J$6:$J$9,0),MATCH($BY$4,Lab_Mat!$K$5:$N$5,0))*Q19*HLOOKUP(CF$5,Escalators!$I$25:$U$30,6,FALSE)</f>
        <v>0</v>
      </c>
      <c r="CH19" s="47">
        <f>INDEX(Lab_Mat!$K$6:$N$9,MATCH($H19,Lab_Mat!$J$6:$J$9,0),MATCH($CH$4,Lab_Mat!$K$5:$N$5,0))*J19</f>
        <v>0</v>
      </c>
      <c r="CI19" s="47">
        <f>INDEX(Lab_Mat!$K$6:$N$9,MATCH($H19,Lab_Mat!$J$6:$J$9,0),MATCH($CH$4,Lab_Mat!$K$5:$N$5,0))*K19</f>
        <v>0</v>
      </c>
      <c r="CJ19" s="47">
        <f>INDEX(Lab_Mat!$K$6:$N$9,MATCH($H19,Lab_Mat!$J$6:$J$9,0),MATCH($CH$4,Lab_Mat!$K$5:$N$5,0))*L19</f>
        <v>0</v>
      </c>
      <c r="CK19" s="47">
        <f>INDEX(Lab_Mat!$K$6:$N$9,MATCH($H19,Lab_Mat!$J$6:$J$9,0),MATCH($CH$4,Lab_Mat!$K$5:$N$5,0))*M19</f>
        <v>2.7053052001770714</v>
      </c>
      <c r="CL19" s="47">
        <f>INDEX(Lab_Mat!$K$6:$N$9,MATCH($H19,Lab_Mat!$J$6:$J$9,0),MATCH($CH$4,Lab_Mat!$K$5:$N$5,0))*N19</f>
        <v>1.1568013104502815</v>
      </c>
      <c r="CM19" s="47">
        <f>INDEX(Lab_Mat!$K$6:$N$9,MATCH($H19,Lab_Mat!$J$6:$J$9,0),MATCH($CH$4,Lab_Mat!$K$5:$N$5,0))*O19</f>
        <v>0</v>
      </c>
      <c r="CN19" s="47">
        <f>INDEX(Lab_Mat!$K$6:$N$9,MATCH($H19,Lab_Mat!$J$6:$J$9,0),MATCH($CH$4,Lab_Mat!$K$5:$N$5,0))*P19</f>
        <v>0</v>
      </c>
      <c r="CO19" s="47">
        <f>INDEX(Lab_Mat!$K$6:$N$9,MATCH($H19,Lab_Mat!$J$6:$J$9,0),MATCH($CH$4,Lab_Mat!$K$5:$N$5,0))*Q19</f>
        <v>0</v>
      </c>
      <c r="CQ19" s="47">
        <f t="shared" si="24"/>
        <v>0</v>
      </c>
      <c r="CR19" s="47">
        <f t="shared" si="25"/>
        <v>0</v>
      </c>
      <c r="CS19" s="47">
        <f t="shared" si="26"/>
        <v>0</v>
      </c>
      <c r="CT19" s="47">
        <f t="shared" si="27"/>
        <v>35.040214542181069</v>
      </c>
      <c r="CU19" s="47">
        <f t="shared" si="28"/>
        <v>15.043031204348539</v>
      </c>
      <c r="CV19" s="47">
        <f t="shared" si="29"/>
        <v>0</v>
      </c>
      <c r="CW19" s="47">
        <f t="shared" si="30"/>
        <v>0</v>
      </c>
      <c r="CX19" s="47">
        <f t="shared" si="31"/>
        <v>0</v>
      </c>
      <c r="CY19" s="39"/>
      <c r="CZ19" s="39"/>
      <c r="DA19" s="39"/>
      <c r="DB19" s="39"/>
      <c r="DC19" s="39"/>
    </row>
    <row r="20" spans="2:109" x14ac:dyDescent="0.3">
      <c r="B20" s="7"/>
      <c r="C20" s="7" t="s">
        <v>416</v>
      </c>
      <c r="D20" s="7" t="s">
        <v>693</v>
      </c>
      <c r="E20" s="7" t="s">
        <v>50</v>
      </c>
      <c r="F20" s="7" t="s">
        <v>55</v>
      </c>
      <c r="G20" s="7" t="s">
        <v>34</v>
      </c>
      <c r="H20" s="7" t="s">
        <v>562</v>
      </c>
      <c r="I20" s="7" t="s">
        <v>5</v>
      </c>
      <c r="J20" s="45"/>
      <c r="K20" s="45"/>
      <c r="L20" s="45"/>
      <c r="M20" s="45">
        <v>0</v>
      </c>
      <c r="N20" s="45">
        <v>0</v>
      </c>
      <c r="O20" s="45">
        <v>0</v>
      </c>
      <c r="P20" s="45"/>
      <c r="Q20" s="45"/>
      <c r="S20" s="47">
        <f>INDEX(Lab_Mat!$K$6:$N$9,MATCH($H20,Lab_Mat!$J$6:$J$9,0),MATCH($S$4,Lab_Mat!$K$5:$N$5,0))*J20*HLOOKUP(S$5,Escalators!$I$25:$U$30,3,FALSE)</f>
        <v>0</v>
      </c>
      <c r="T20" s="47">
        <f>INDEX(Lab_Mat!$K$6:$N$9,MATCH($H20,Lab_Mat!$J$6:$J$9,0),MATCH($S$4,Lab_Mat!$K$5:$N$5,0))*K20*HLOOKUP(T$5,Escalators!$I$25:$U$30,3,FALSE)</f>
        <v>0</v>
      </c>
      <c r="U20" s="47">
        <f>INDEX(Lab_Mat!$K$6:$N$9,MATCH($H20,Lab_Mat!$J$6:$J$9,0),MATCH($S$4,Lab_Mat!$K$5:$N$5,0))*L20*HLOOKUP(U$5,Escalators!$I$25:$U$30,3,FALSE)</f>
        <v>0</v>
      </c>
      <c r="V20" s="47">
        <f>INDEX(Lab_Mat!$K$6:$N$9,MATCH($H20,Lab_Mat!$J$6:$J$9,0),MATCH($S$4,Lab_Mat!$K$5:$N$5,0))*M20*HLOOKUP(V$5,Escalators!$I$25:$U$30,3,FALSE)</f>
        <v>0</v>
      </c>
      <c r="W20" s="47">
        <f>INDEX(Lab_Mat!$K$6:$N$9,MATCH($H20,Lab_Mat!$J$6:$J$9,0),MATCH($S$4,Lab_Mat!$K$5:$N$5,0))*N20*HLOOKUP(W$5,Escalators!$I$25:$U$30,3,FALSE)</f>
        <v>0</v>
      </c>
      <c r="X20" s="47">
        <f>INDEX(Lab_Mat!$K$6:$N$9,MATCH($H20,Lab_Mat!$J$6:$J$9,0),MATCH($S$4,Lab_Mat!$K$5:$N$5,0))*O20*HLOOKUP(X$5,Escalators!$I$25:$U$30,3,FALSE)</f>
        <v>0</v>
      </c>
      <c r="Y20" s="47">
        <f>INDEX(Lab_Mat!$K$6:$N$9,MATCH($H20,Lab_Mat!$J$6:$J$9,0),MATCH($S$4,Lab_Mat!$K$5:$N$5,0))*P20*HLOOKUP(Y$5,Escalators!$I$25:$U$30,3,FALSE)</f>
        <v>0</v>
      </c>
      <c r="Z20" s="47">
        <f>INDEX(Lab_Mat!$K$6:$N$9,MATCH($H20,Lab_Mat!$J$6:$J$9,0),MATCH($S$4,Lab_Mat!$K$5:$N$5,0))*Q20*HLOOKUP(Z$5,Escalators!$I$25:$U$30,3,FALSE)</f>
        <v>0</v>
      </c>
      <c r="AB20" s="47">
        <f>INDEX(Lab_Mat!$K$6:$N$9,MATCH($H20,Lab_Mat!$J$6:$J$9,0),MATCH($AG$4,Lab_Mat!$K$5:$N$5,0))*$J20*INDEX(Act_Type_Repex_Splits,MATCH($I20,Act_Type_Repex,0),MATCH(AB$4,Mat_Type,0))*INDEX(Escalators!$I$44:$Q$49,MATCH(AB$4,Escalators!$C$44:$C$49,0),MATCH(AB$5,Escalators!$I$43:$Q$43,0))</f>
        <v>0</v>
      </c>
      <c r="AC20" s="47">
        <f>INDEX(Lab_Mat!$K$6:$N$9,MATCH($H20,Lab_Mat!$J$6:$J$9,0),MATCH($AG$4,Lab_Mat!$K$5:$N$5,0))*$J20*INDEX(Act_Type_Repex_Splits,MATCH($I20,Act_Type_Repex,0),MATCH(AC$4,Mat_Type,0))*INDEX(Escalators!$I$44:$Q$49,MATCH(AC$4,Escalators!$C$44:$C$49,0),MATCH(AC$5,Escalators!$I$43:$Q$43,0))</f>
        <v>0</v>
      </c>
      <c r="AD20" s="47">
        <f>INDEX(Lab_Mat!$K$6:$N$9,MATCH($H20,Lab_Mat!$J$6:$J$9,0),MATCH($AG$4,Lab_Mat!$K$5:$N$5,0))*$J20*INDEX(Act_Type_Repex_Splits,MATCH($I20,Act_Type_Repex,0),MATCH(AD$4,Mat_Type,0))*INDEX(Escalators!$I$44:$Q$49,MATCH(AD$4,Escalators!$C$44:$C$49,0),MATCH(AD$5,Escalators!$I$43:$Q$43,0))</f>
        <v>0</v>
      </c>
      <c r="AE20" s="47">
        <f>INDEX(Lab_Mat!$K$6:$N$9,MATCH($H20,Lab_Mat!$J$6:$J$9,0),MATCH($AG$4,Lab_Mat!$K$5:$N$5,0))*$J20*INDEX(Act_Type_Repex_Splits,MATCH($I20,Act_Type_Repex,0),MATCH(AE$4,Mat_Type,0))*INDEX(Escalators!$I$44:$Q$49,MATCH(AE$4,Escalators!$C$44:$C$49,0),MATCH(AE$5,Escalators!$I$43:$Q$43,0))</f>
        <v>0</v>
      </c>
      <c r="AF20" s="47">
        <f>INDEX(Lab_Mat!$K$6:$N$9,MATCH($H20,Lab_Mat!$J$6:$J$9,0),MATCH($AG$4,Lab_Mat!$K$5:$N$5,0))*$J20*INDEX(Act_Type_Repex_Splits,MATCH($I20,Act_Type_Repex,0),MATCH(AF$4,Mat_Type,0))*INDEX(Escalators!$I$44:$Q$49,MATCH(AF$4,Escalators!$C$44:$C$49,0),MATCH(AF$5,Escalators!$I$43:$Q$43,0))</f>
        <v>0</v>
      </c>
      <c r="AG20" s="47">
        <f t="shared" si="32"/>
        <v>0</v>
      </c>
      <c r="AH20" s="47">
        <f>INDEX(Lab_Mat!$K$6:$N$9,MATCH($H20,Lab_Mat!$J$6:$J$9,0),MATCH($AY$4,Lab_Mat!$K$5:$N$5,0))*$K20*INDEX(Act_Type_Repex_Splits,MATCH($I20,Act_Type_Repex,0),MATCH(AH$4,Mat_Type,0))*INDEX(Escalators!$I$44:$U$49,MATCH(AH$4,Escalators!$C$44:$C$49,0),MATCH(AH$5,Escalators!$I$43:$U$43,0))</f>
        <v>0</v>
      </c>
      <c r="AI20" s="47">
        <f>INDEX(Lab_Mat!$K$6:$N$9,MATCH($H20,Lab_Mat!$J$6:$J$9,0),MATCH($AY$4,Lab_Mat!$K$5:$N$5,0))*$K20*INDEX(Act_Type_Repex_Splits,MATCH($I20,Act_Type_Repex,0),MATCH(AI$4,Mat_Type,0))*INDEX(Escalators!$I$44:$U$49,MATCH(AI$4,Escalators!$C$44:$C$49,0),MATCH(AI$5,Escalators!$I$43:$U$43,0))</f>
        <v>0</v>
      </c>
      <c r="AJ20" s="47">
        <f>INDEX(Lab_Mat!$K$6:$N$9,MATCH($H20,Lab_Mat!$J$6:$J$9,0),MATCH($AY$4,Lab_Mat!$K$5:$N$5,0))*$K20*INDEX(Act_Type_Repex_Splits,MATCH($I20,Act_Type_Repex,0),MATCH(AJ$4,Mat_Type,0))*INDEX(Escalators!$I$44:$U$49,MATCH(AJ$4,Escalators!$C$44:$C$49,0),MATCH(AJ$5,Escalators!$I$43:$U$43,0))</f>
        <v>0</v>
      </c>
      <c r="AK20" s="47">
        <f>INDEX(Lab_Mat!$K$6:$N$9,MATCH($H20,Lab_Mat!$J$6:$J$9,0),MATCH($AY$4,Lab_Mat!$K$5:$N$5,0))*$K20*INDEX(Act_Type_Repex_Splits,MATCH($I20,Act_Type_Repex,0),MATCH(AK$4,Mat_Type,0))*INDEX(Escalators!$I$44:$U$49,MATCH(AK$4,Escalators!$C$44:$C$49,0),MATCH(AK$5,Escalators!$I$43:$U$43,0))</f>
        <v>0</v>
      </c>
      <c r="AL20" s="47">
        <f>INDEX(Lab_Mat!$K$6:$N$9,MATCH($H20,Lab_Mat!$J$6:$J$9,0),MATCH($AY$4,Lab_Mat!$K$5:$N$5,0))*$K20*INDEX(Act_Type_Repex_Splits,MATCH($I20,Act_Type_Repex,0),MATCH(AL$4,Mat_Type,0))*INDEX(Escalators!$I$44:$U$49,MATCH(AL$4,Escalators!$C$44:$C$49,0),MATCH(AL$5,Escalators!$I$43:$U$43,0))</f>
        <v>0</v>
      </c>
      <c r="AM20" s="47">
        <f t="shared" si="33"/>
        <v>0</v>
      </c>
      <c r="AN20" s="47">
        <f>INDEX(Lab_Mat!$K$6:$N$9,MATCH($H20,Lab_Mat!$J$6:$J$9,0),MATCH($AY$4,Lab_Mat!$K$5:$N$5,0))*$L20*INDEX(Act_Type_Repex_Splits,MATCH($I20,Act_Type_Repex,0),MATCH(AN$4,Mat_Type,0))*INDEX(Escalators!$I$44:$U$49,MATCH(AN$4,Escalators!$C$44:$C$49,0),MATCH(AN$5,Escalators!$I$43:$U$43,0))</f>
        <v>0</v>
      </c>
      <c r="AO20" s="47">
        <f>INDEX(Lab_Mat!$K$6:$N$9,MATCH($H20,Lab_Mat!$J$6:$J$9,0),MATCH($AY$4,Lab_Mat!$K$5:$N$5,0))*$L20*INDEX(Act_Type_Repex_Splits,MATCH($I20,Act_Type_Repex,0),MATCH(AO$4,Mat_Type,0))*INDEX(Escalators!$I$44:$U$49,MATCH(AO$4,Escalators!$C$44:$C$49,0),MATCH(AO$5,Escalators!$I$43:$U$43,0))</f>
        <v>0</v>
      </c>
      <c r="AP20" s="47">
        <f>INDEX(Lab_Mat!$K$6:$N$9,MATCH($H20,Lab_Mat!$J$6:$J$9,0),MATCH($AY$4,Lab_Mat!$K$5:$N$5,0))*$L20*INDEX(Act_Type_Repex_Splits,MATCH($I20,Act_Type_Repex,0),MATCH(AP$4,Mat_Type,0))*INDEX(Escalators!$I$44:$U$49,MATCH(AP$4,Escalators!$C$44:$C$49,0),MATCH(AP$5,Escalators!$I$43:$U$43,0))</f>
        <v>0</v>
      </c>
      <c r="AQ20" s="47">
        <f>INDEX(Lab_Mat!$K$6:$N$9,MATCH($H20,Lab_Mat!$J$6:$J$9,0),MATCH($AY$4,Lab_Mat!$K$5:$N$5,0))*$L20*INDEX(Act_Type_Repex_Splits,MATCH($I20,Act_Type_Repex,0),MATCH(AQ$4,Mat_Type,0))*INDEX(Escalators!$I$44:$U$49,MATCH(AQ$4,Escalators!$C$44:$C$49,0),MATCH(AQ$5,Escalators!$I$43:$U$43,0))</f>
        <v>0</v>
      </c>
      <c r="AR20" s="47">
        <f>INDEX(Lab_Mat!$K$6:$N$9,MATCH($H20,Lab_Mat!$J$6:$J$9,0),MATCH($AY$4,Lab_Mat!$K$5:$N$5,0))*$L20*INDEX(Act_Type_Repex_Splits,MATCH($I20,Act_Type_Repex,0),MATCH(AR$4,Mat_Type,0))*INDEX(Escalators!$I$44:$U$49,MATCH(AR$4,Escalators!$C$44:$C$49,0),MATCH(AR$5,Escalators!$I$43:$U$43,0))</f>
        <v>0</v>
      </c>
      <c r="AS20" s="47">
        <f t="shared" si="34"/>
        <v>0</v>
      </c>
      <c r="AT20" s="47">
        <f>INDEX(Lab_Mat!$K$6:$N$9,MATCH($H20,Lab_Mat!$J$6:$J$9,0),MATCH($AY$4,Lab_Mat!$K$5:$N$5,0))*$M20*INDEX(Act_Type_Repex_Splits,MATCH($I20,Act_Type_Repex,0),MATCH(AT$4,Mat_Type,0))*INDEX(Escalators!$I$44:$U$49,MATCH(AT$4,Escalators!$C$44:$C$49,0),MATCH(AT$5,Escalators!$I$43:$U$43,0))</f>
        <v>0</v>
      </c>
      <c r="AU20" s="47">
        <f>INDEX(Lab_Mat!$K$6:$N$9,MATCH($H20,Lab_Mat!$J$6:$J$9,0),MATCH($AY$4,Lab_Mat!$K$5:$N$5,0))*$M20*INDEX(Act_Type_Repex_Splits,MATCH($I20,Act_Type_Repex,0),MATCH(AU$4,Mat_Type,0))*INDEX(Escalators!$I$44:$U$49,MATCH(AU$4,Escalators!$C$44:$C$49,0),MATCH(AU$5,Escalators!$I$43:$U$43,0))</f>
        <v>0</v>
      </c>
      <c r="AV20" s="47">
        <f>INDEX(Lab_Mat!$K$6:$N$9,MATCH($H20,Lab_Mat!$J$6:$J$9,0),MATCH($AY$4,Lab_Mat!$K$5:$N$5,0))*$M20*INDEX(Act_Type_Repex_Splits,MATCH($I20,Act_Type_Repex,0),MATCH(AV$4,Mat_Type,0))*INDEX(Escalators!$I$44:$U$49,MATCH(AV$4,Escalators!$C$44:$C$49,0),MATCH(AV$5,Escalators!$I$43:$U$43,0))</f>
        <v>0</v>
      </c>
      <c r="AW20" s="47">
        <f>INDEX(Lab_Mat!$K$6:$N$9,MATCH($H20,Lab_Mat!$J$6:$J$9,0),MATCH($AY$4,Lab_Mat!$K$5:$N$5,0))*$M20*INDEX(Act_Type_Repex_Splits,MATCH($I20,Act_Type_Repex,0),MATCH(AW$4,Mat_Type,0))*INDEX(Escalators!$I$44:$U$49,MATCH(AW$4,Escalators!$C$44:$C$49,0),MATCH(AW$5,Escalators!$I$43:$U$43,0))</f>
        <v>0</v>
      </c>
      <c r="AX20" s="47">
        <f>INDEX(Lab_Mat!$K$6:$N$9,MATCH($H20,Lab_Mat!$J$6:$J$9,0),MATCH($AY$4,Lab_Mat!$K$5:$N$5,0))*$M20*INDEX(Act_Type_Repex_Splits,MATCH($I20,Act_Type_Repex,0),MATCH(AX$4,Mat_Type,0))*INDEX(Escalators!$I$44:$U$49,MATCH(AX$4,Escalators!$C$44:$C$49,0),MATCH(AX$5,Escalators!$I$43:$U$43,0))</f>
        <v>0</v>
      </c>
      <c r="AY20" s="47">
        <f t="shared" si="35"/>
        <v>0</v>
      </c>
      <c r="AZ20" s="47">
        <f>INDEX(Lab_Mat!$K$6:$N$9,MATCH($H20,Lab_Mat!$J$6:$J$9,0),MATCH($BE$4,Lab_Mat!$K$5:$N$5,0))*$N20*INDEX(Act_Type_Repex_Splits,MATCH($I20,Act_Type_Repex,0),MATCH(AZ$4,Mat_Type,0))*INDEX(Escalators!$I$44:$U$49,MATCH(AZ$4,Escalators!$C$44:$C$49,0),MATCH(AZ$5,Escalators!$I$43:$U$43,0))</f>
        <v>0</v>
      </c>
      <c r="BA20" s="47">
        <f>INDEX(Lab_Mat!$K$6:$N$9,MATCH($H20,Lab_Mat!$J$6:$J$9,0),MATCH($BE$4,Lab_Mat!$K$5:$N$5,0))*$N20*INDEX(Act_Type_Repex_Splits,MATCH($I20,Act_Type_Repex,0),MATCH(BA$4,Mat_Type,0))*INDEX(Escalators!$I$44:$U$49,MATCH(BA$4,Escalators!$C$44:$C$49,0),MATCH(BA$5,Escalators!$I$43:$U$43,0))</f>
        <v>0</v>
      </c>
      <c r="BB20" s="47">
        <f>INDEX(Lab_Mat!$K$6:$N$9,MATCH($H20,Lab_Mat!$J$6:$J$9,0),MATCH($BE$4,Lab_Mat!$K$5:$N$5,0))*$N20*INDEX(Act_Type_Repex_Splits,MATCH($I20,Act_Type_Repex,0),MATCH(BB$4,Mat_Type,0))*INDEX(Escalators!$I$44:$U$49,MATCH(BB$4,Escalators!$C$44:$C$49,0),MATCH(BB$5,Escalators!$I$43:$U$43,0))</f>
        <v>0</v>
      </c>
      <c r="BC20" s="47">
        <f>INDEX(Lab_Mat!$K$6:$N$9,MATCH($H20,Lab_Mat!$J$6:$J$9,0),MATCH($BE$4,Lab_Mat!$K$5:$N$5,0))*$N20*INDEX(Act_Type_Repex_Splits,MATCH($I20,Act_Type_Repex,0),MATCH(BC$4,Mat_Type,0))*INDEX(Escalators!$I$44:$U$49,MATCH(BC$4,Escalators!$C$44:$C$49,0),MATCH(BC$5,Escalators!$I$43:$U$43,0))</f>
        <v>0</v>
      </c>
      <c r="BD20" s="47">
        <f>INDEX(Lab_Mat!$K$6:$N$9,MATCH($H20,Lab_Mat!$J$6:$J$9,0),MATCH($BE$4,Lab_Mat!$K$5:$N$5,0))*$N20*INDEX(Act_Type_Repex_Splits,MATCH($I20,Act_Type_Repex,0),MATCH(BD$4,Mat_Type,0))*INDEX(Escalators!$I$44:$U$49,MATCH(BD$4,Escalators!$C$44:$C$49,0),MATCH(BD$5,Escalators!$I$43:$U$43,0))</f>
        <v>0</v>
      </c>
      <c r="BE20" s="47">
        <f t="shared" si="36"/>
        <v>0</v>
      </c>
      <c r="BF20" s="47">
        <f>INDEX(Lab_Mat!$K$6:$N$9,MATCH($H20,Lab_Mat!$J$6:$J$9,0),MATCH($BK$4,Lab_Mat!$K$5:$N$5,0))*$O20*INDEX(Act_Type_Repex_Splits,MATCH($I20,Act_Type_Repex,0),MATCH(BF$4,Mat_Type,0))*INDEX(Escalators!$I$44:$U$49,MATCH(BF$4,Escalators!$C$44:$C$49,0),MATCH(BF$5,Escalators!$I$43:$U$43,0))</f>
        <v>0</v>
      </c>
      <c r="BG20" s="47">
        <f>INDEX(Lab_Mat!$K$6:$N$9,MATCH($H20,Lab_Mat!$J$6:$J$9,0),MATCH($BK$4,Lab_Mat!$K$5:$N$5,0))*$O20*INDEX(Act_Type_Repex_Splits,MATCH($I20,Act_Type_Repex,0),MATCH(BG$4,Mat_Type,0))*INDEX(Escalators!$I$44:$U$49,MATCH(BG$4,Escalators!$C$44:$C$49,0),MATCH(BG$5,Escalators!$I$43:$U$43,0))</f>
        <v>0</v>
      </c>
      <c r="BH20" s="47">
        <f>INDEX(Lab_Mat!$K$6:$N$9,MATCH($H20,Lab_Mat!$J$6:$J$9,0),MATCH($BK$4,Lab_Mat!$K$5:$N$5,0))*$O20*INDEX(Act_Type_Repex_Splits,MATCH($I20,Act_Type_Repex,0),MATCH(BH$4,Mat_Type,0))*INDEX(Escalators!$I$44:$U$49,MATCH(BH$4,Escalators!$C$44:$C$49,0),MATCH(BH$5,Escalators!$I$43:$U$43,0))</f>
        <v>0</v>
      </c>
      <c r="BI20" s="47">
        <f>INDEX(Lab_Mat!$K$6:$N$9,MATCH($H20,Lab_Mat!$J$6:$J$9,0),MATCH($BK$4,Lab_Mat!$K$5:$N$5,0))*$O20*INDEX(Act_Type_Repex_Splits,MATCH($I20,Act_Type_Repex,0),MATCH(BI$4,Mat_Type,0))*INDEX(Escalators!$I$44:$U$49,MATCH(BI$4,Escalators!$C$44:$C$49,0),MATCH(BI$5,Escalators!$I$43:$U$43,0))</f>
        <v>0</v>
      </c>
      <c r="BJ20" s="47">
        <f>INDEX(Lab_Mat!$K$6:$N$9,MATCH($H20,Lab_Mat!$J$6:$J$9,0),MATCH($BK$4,Lab_Mat!$K$5:$N$5,0))*$O20*INDEX(Act_Type_Repex_Splits,MATCH($I20,Act_Type_Repex,0),MATCH(BJ$4,Mat_Type,0))*INDEX(Escalators!$I$44:$U$49,MATCH(BJ$4,Escalators!$C$44:$C$49,0),MATCH(BJ$5,Escalators!$I$43:$U$43,0))</f>
        <v>0</v>
      </c>
      <c r="BK20" s="47">
        <f t="shared" si="37"/>
        <v>0</v>
      </c>
      <c r="BL20" s="47">
        <f>INDEX(Lab_Mat!$K$6:$N$9,MATCH($H20,Lab_Mat!$J$6:$J$9,0),MATCH($BQ$4,Lab_Mat!$K$5:$N$5,0))*$P20*INDEX(Act_Type_Repex_Splits,MATCH($I20,Act_Type_Repex,0),MATCH(BL$4,Mat_Type,0))*INDEX(Escalators!$I$44:$U$49,MATCH(BL$4,Escalators!$C$44:$C$49,0),MATCH(BL$5,Escalators!$I$43:$U$43,0))</f>
        <v>0</v>
      </c>
      <c r="BM20" s="47">
        <f>INDEX(Lab_Mat!$K$6:$N$9,MATCH($H20,Lab_Mat!$J$6:$J$9,0),MATCH($BQ$4,Lab_Mat!$K$5:$N$5,0))*$P20*INDEX(Act_Type_Repex_Splits,MATCH($I20,Act_Type_Repex,0),MATCH(BM$4,Mat_Type,0))*INDEX(Escalators!$I$44:$U$49,MATCH(BM$4,Escalators!$C$44:$C$49,0),MATCH(BM$5,Escalators!$I$43:$U$43,0))</f>
        <v>0</v>
      </c>
      <c r="BN20" s="47">
        <f>INDEX(Lab_Mat!$K$6:$N$9,MATCH($H20,Lab_Mat!$J$6:$J$9,0),MATCH($BQ$4,Lab_Mat!$K$5:$N$5,0))*$P20*INDEX(Act_Type_Repex_Splits,MATCH($I20,Act_Type_Repex,0),MATCH(BN$4,Mat_Type,0))*INDEX(Escalators!$I$44:$U$49,MATCH(BN$4,Escalators!$C$44:$C$49,0),MATCH(BN$5,Escalators!$I$43:$U$43,0))</f>
        <v>0</v>
      </c>
      <c r="BO20" s="47">
        <f>INDEX(Lab_Mat!$K$6:$N$9,MATCH($H20,Lab_Mat!$J$6:$J$9,0),MATCH($BQ$4,Lab_Mat!$K$5:$N$5,0))*$P20*INDEX(Act_Type_Repex_Splits,MATCH($I20,Act_Type_Repex,0),MATCH(BO$4,Mat_Type,0))*INDEX(Escalators!$I$44:$U$49,MATCH(BO$4,Escalators!$C$44:$C$49,0),MATCH(BO$5,Escalators!$I$43:$U$43,0))</f>
        <v>0</v>
      </c>
      <c r="BP20" s="47">
        <f>INDEX(Lab_Mat!$K$6:$N$9,MATCH($H20,Lab_Mat!$J$6:$J$9,0),MATCH($BQ$4,Lab_Mat!$K$5:$N$5,0))*$P20*INDEX(Act_Type_Repex_Splits,MATCH($I20,Act_Type_Repex,0),MATCH(BP$4,Mat_Type,0))*INDEX(Escalators!$I$44:$U$49,MATCH(BP$4,Escalators!$C$44:$C$49,0),MATCH(BP$5,Escalators!$I$43:$U$43,0))</f>
        <v>0</v>
      </c>
      <c r="BQ20" s="47">
        <f t="shared" si="38"/>
        <v>0</v>
      </c>
      <c r="BR20" s="47">
        <f>INDEX(Lab_Mat!$K$6:$N$9,MATCH($H20,Lab_Mat!$J$6:$J$9,0),MATCH($BW$4,Lab_Mat!$K$5:$N$5,0))*$Q20*INDEX(Act_Type_Repex_Splits,MATCH($I20,Act_Type_Repex,0),MATCH(BR$4,Mat_Type,0))*INDEX(Escalators!$I$44:$U$49,MATCH(BR$4,Escalators!$C$44:$C$49,0),MATCH(BR$5,Escalators!$I$43:$U$43,0))</f>
        <v>0</v>
      </c>
      <c r="BS20" s="47">
        <f>INDEX(Lab_Mat!$K$6:$N$9,MATCH($H20,Lab_Mat!$J$6:$J$9,0),MATCH($BW$4,Lab_Mat!$K$5:$N$5,0))*$Q20*INDEX(Act_Type_Repex_Splits,MATCH($I20,Act_Type_Repex,0),MATCH(BS$4,Mat_Type,0))*INDEX(Escalators!$I$44:$U$49,MATCH(BS$4,Escalators!$C$44:$C$49,0),MATCH(BS$5,Escalators!$I$43:$U$43,0))</f>
        <v>0</v>
      </c>
      <c r="BT20" s="47">
        <f>INDEX(Lab_Mat!$K$6:$N$9,MATCH($H20,Lab_Mat!$J$6:$J$9,0),MATCH($BW$4,Lab_Mat!$K$5:$N$5,0))*$Q20*INDEX(Act_Type_Repex_Splits,MATCH($I20,Act_Type_Repex,0),MATCH(BT$4,Mat_Type,0))*INDEX(Escalators!$I$44:$U$49,MATCH(BT$4,Escalators!$C$44:$C$49,0),MATCH(BT$5,Escalators!$I$43:$U$43,0))</f>
        <v>0</v>
      </c>
      <c r="BU20" s="47">
        <f>INDEX(Lab_Mat!$K$6:$N$9,MATCH($H20,Lab_Mat!$J$6:$J$9,0),MATCH($BW$4,Lab_Mat!$K$5:$N$5,0))*$Q20*INDEX(Act_Type_Repex_Splits,MATCH($I20,Act_Type_Repex,0),MATCH(BU$4,Mat_Type,0))*INDEX(Escalators!$I$44:$U$49,MATCH(BU$4,Escalators!$C$44:$C$49,0),MATCH(BU$5,Escalators!$I$43:$U$43,0))</f>
        <v>0</v>
      </c>
      <c r="BV20" s="47">
        <f>INDEX(Lab_Mat!$K$6:$N$9,MATCH($H20,Lab_Mat!$J$6:$J$9,0),MATCH($BW$4,Lab_Mat!$K$5:$N$5,0))*$Q20*INDEX(Act_Type_Repex_Splits,MATCH($I20,Act_Type_Repex,0),MATCH(BV$4,Mat_Type,0))*INDEX(Escalators!$I$44:$U$49,MATCH(BV$4,Escalators!$C$44:$C$49,0),MATCH(BV$5,Escalators!$I$43:$U$43,0))</f>
        <v>0</v>
      </c>
      <c r="BW20" s="47">
        <f t="shared" si="39"/>
        <v>0</v>
      </c>
      <c r="BY20" s="47">
        <f>INDEX(Lab_Mat!$K$6:$N$9,MATCH($H20,Lab_Mat!$J$6:$J$9,0),MATCH($BY$4,Lab_Mat!$K$5:$N$5,0))*J20*HLOOKUP(BY$5,Escalators!$I$25:$U$30,6,FALSE)</f>
        <v>0</v>
      </c>
      <c r="BZ20" s="47">
        <f>INDEX(Lab_Mat!$K$6:$N$9,MATCH($H20,Lab_Mat!$J$6:$J$9,0),MATCH($BY$4,Lab_Mat!$K$5:$N$5,0))*K20*HLOOKUP(BZ$5,Escalators!$I$25:$U$30,6,FALSE)</f>
        <v>0</v>
      </c>
      <c r="CA20" s="47">
        <f>INDEX(Lab_Mat!$K$6:$N$9,MATCH($H20,Lab_Mat!$J$6:$J$9,0),MATCH($BY$4,Lab_Mat!$K$5:$N$5,0))*L20*HLOOKUP(CA$5,Escalators!$I$25:$U$30,6,FALSE)</f>
        <v>0</v>
      </c>
      <c r="CB20" s="47">
        <f>INDEX(Lab_Mat!$K$6:$N$9,MATCH($H20,Lab_Mat!$J$6:$J$9,0),MATCH($BY$4,Lab_Mat!$K$5:$N$5,0))*M20*HLOOKUP(CB$5,Escalators!$I$25:$U$30,6,FALSE)</f>
        <v>0</v>
      </c>
      <c r="CC20" s="47">
        <f>INDEX(Lab_Mat!$K$6:$N$9,MATCH($H20,Lab_Mat!$J$6:$J$9,0),MATCH($BY$4,Lab_Mat!$K$5:$N$5,0))*N20*HLOOKUP(CC$5,Escalators!$I$25:$U$30,6,FALSE)</f>
        <v>0</v>
      </c>
      <c r="CD20" s="47">
        <f>INDEX(Lab_Mat!$K$6:$N$9,MATCH($H20,Lab_Mat!$J$6:$J$9,0),MATCH($BY$4,Lab_Mat!$K$5:$N$5,0))*O20*HLOOKUP(CD$5,Escalators!$I$25:$U$30,6,FALSE)</f>
        <v>0</v>
      </c>
      <c r="CE20" s="47">
        <f>INDEX(Lab_Mat!$K$6:$N$9,MATCH($H20,Lab_Mat!$J$6:$J$9,0),MATCH($BY$4,Lab_Mat!$K$5:$N$5,0))*P20*HLOOKUP(CE$5,Escalators!$I$25:$U$30,6,FALSE)</f>
        <v>0</v>
      </c>
      <c r="CF20" s="47">
        <f>INDEX(Lab_Mat!$K$6:$N$9,MATCH($H20,Lab_Mat!$J$6:$J$9,0),MATCH($BY$4,Lab_Mat!$K$5:$N$5,0))*Q20*HLOOKUP(CF$5,Escalators!$I$25:$U$30,6,FALSE)</f>
        <v>0</v>
      </c>
      <c r="CH20" s="47">
        <f>INDEX(Lab_Mat!$K$6:$N$9,MATCH($H20,Lab_Mat!$J$6:$J$9,0),MATCH($CH$4,Lab_Mat!$K$5:$N$5,0))*J20</f>
        <v>0</v>
      </c>
      <c r="CI20" s="47">
        <f>INDEX(Lab_Mat!$K$6:$N$9,MATCH($H20,Lab_Mat!$J$6:$J$9,0),MATCH($CH$4,Lab_Mat!$K$5:$N$5,0))*K20</f>
        <v>0</v>
      </c>
      <c r="CJ20" s="47">
        <f>INDEX(Lab_Mat!$K$6:$N$9,MATCH($H20,Lab_Mat!$J$6:$J$9,0),MATCH($CH$4,Lab_Mat!$K$5:$N$5,0))*L20</f>
        <v>0</v>
      </c>
      <c r="CK20" s="47">
        <f>INDEX(Lab_Mat!$K$6:$N$9,MATCH($H20,Lab_Mat!$J$6:$J$9,0),MATCH($CH$4,Lab_Mat!$K$5:$N$5,0))*M20</f>
        <v>0</v>
      </c>
      <c r="CL20" s="47">
        <f>INDEX(Lab_Mat!$K$6:$N$9,MATCH($H20,Lab_Mat!$J$6:$J$9,0),MATCH($CH$4,Lab_Mat!$K$5:$N$5,0))*N20</f>
        <v>0</v>
      </c>
      <c r="CM20" s="47">
        <f>INDEX(Lab_Mat!$K$6:$N$9,MATCH($H20,Lab_Mat!$J$6:$J$9,0),MATCH($CH$4,Lab_Mat!$K$5:$N$5,0))*O20</f>
        <v>0</v>
      </c>
      <c r="CN20" s="47">
        <f>INDEX(Lab_Mat!$K$6:$N$9,MATCH($H20,Lab_Mat!$J$6:$J$9,0),MATCH($CH$4,Lab_Mat!$K$5:$N$5,0))*P20</f>
        <v>0</v>
      </c>
      <c r="CO20" s="47">
        <f>INDEX(Lab_Mat!$K$6:$N$9,MATCH($H20,Lab_Mat!$J$6:$J$9,0),MATCH($CH$4,Lab_Mat!$K$5:$N$5,0))*Q20</f>
        <v>0</v>
      </c>
      <c r="CQ20" s="47">
        <f t="shared" si="24"/>
        <v>0</v>
      </c>
      <c r="CR20" s="47">
        <f t="shared" si="25"/>
        <v>0</v>
      </c>
      <c r="CS20" s="47">
        <f t="shared" si="26"/>
        <v>0</v>
      </c>
      <c r="CT20" s="47">
        <f t="shared" si="27"/>
        <v>0</v>
      </c>
      <c r="CU20" s="47">
        <f t="shared" si="28"/>
        <v>0</v>
      </c>
      <c r="CV20" s="47">
        <f t="shared" si="29"/>
        <v>0</v>
      </c>
      <c r="CW20" s="47">
        <f t="shared" si="30"/>
        <v>0</v>
      </c>
      <c r="CX20" s="47">
        <f t="shared" si="31"/>
        <v>0</v>
      </c>
      <c r="CY20" s="39"/>
      <c r="CZ20" s="39"/>
      <c r="DA20" s="39"/>
      <c r="DB20" s="39"/>
      <c r="DC20" s="39"/>
    </row>
    <row r="21" spans="2:109" x14ac:dyDescent="0.3">
      <c r="B21" s="7"/>
      <c r="C21" s="7" t="s">
        <v>578</v>
      </c>
      <c r="D21" s="7" t="s">
        <v>693</v>
      </c>
      <c r="E21" s="7" t="s">
        <v>397</v>
      </c>
      <c r="F21" s="7" t="s">
        <v>55</v>
      </c>
      <c r="G21" s="7" t="s">
        <v>34</v>
      </c>
      <c r="H21" s="7" t="s">
        <v>750</v>
      </c>
      <c r="I21" s="7" t="s">
        <v>5</v>
      </c>
      <c r="J21" s="45"/>
      <c r="K21" s="45"/>
      <c r="L21" s="45"/>
      <c r="M21" s="45">
        <v>0</v>
      </c>
      <c r="N21" s="45">
        <v>0</v>
      </c>
      <c r="O21" s="45">
        <v>0</v>
      </c>
      <c r="P21" s="45"/>
      <c r="Q21" s="45"/>
      <c r="S21" s="47">
        <f>INDEX(Lab_Mat!$K$6:$N$9,MATCH($H21,Lab_Mat!$J$6:$J$9,0),MATCH($S$4,Lab_Mat!$K$5:$N$5,0))*J21*HLOOKUP(S$5,Escalators!$I$25:$U$30,3,FALSE)</f>
        <v>0</v>
      </c>
      <c r="T21" s="47">
        <f>INDEX(Lab_Mat!$K$6:$N$9,MATCH($H21,Lab_Mat!$J$6:$J$9,0),MATCH($S$4,Lab_Mat!$K$5:$N$5,0))*K21*HLOOKUP(T$5,Escalators!$I$25:$U$30,3,FALSE)</f>
        <v>0</v>
      </c>
      <c r="U21" s="47">
        <f>INDEX(Lab_Mat!$K$6:$N$9,MATCH($H21,Lab_Mat!$J$6:$J$9,0),MATCH($S$4,Lab_Mat!$K$5:$N$5,0))*L21*HLOOKUP(U$5,Escalators!$I$25:$U$30,3,FALSE)</f>
        <v>0</v>
      </c>
      <c r="V21" s="47">
        <f>INDEX(Lab_Mat!$K$6:$N$9,MATCH($H21,Lab_Mat!$J$6:$J$9,0),MATCH($S$4,Lab_Mat!$K$5:$N$5,0))*M21*HLOOKUP(V$5,Escalators!$I$25:$U$30,3,FALSE)</f>
        <v>0</v>
      </c>
      <c r="W21" s="47">
        <f>INDEX(Lab_Mat!$K$6:$N$9,MATCH($H21,Lab_Mat!$J$6:$J$9,0),MATCH($S$4,Lab_Mat!$K$5:$N$5,0))*N21*HLOOKUP(W$5,Escalators!$I$25:$U$30,3,FALSE)</f>
        <v>0</v>
      </c>
      <c r="X21" s="47">
        <f>INDEX(Lab_Mat!$K$6:$N$9,MATCH($H21,Lab_Mat!$J$6:$J$9,0),MATCH($S$4,Lab_Mat!$K$5:$N$5,0))*O21*HLOOKUP(X$5,Escalators!$I$25:$U$30,3,FALSE)</f>
        <v>0</v>
      </c>
      <c r="Y21" s="47">
        <f>INDEX(Lab_Mat!$K$6:$N$9,MATCH($H21,Lab_Mat!$J$6:$J$9,0),MATCH($S$4,Lab_Mat!$K$5:$N$5,0))*P21*HLOOKUP(Y$5,Escalators!$I$25:$U$30,3,FALSE)</f>
        <v>0</v>
      </c>
      <c r="Z21" s="47">
        <f>INDEX(Lab_Mat!$K$6:$N$9,MATCH($H21,Lab_Mat!$J$6:$J$9,0),MATCH($S$4,Lab_Mat!$K$5:$N$5,0))*Q21*HLOOKUP(Z$5,Escalators!$I$25:$U$30,3,FALSE)</f>
        <v>0</v>
      </c>
      <c r="AB21" s="47">
        <f>INDEX(Lab_Mat!$K$6:$N$9,MATCH($H21,Lab_Mat!$J$6:$J$9,0),MATCH($AG$4,Lab_Mat!$K$5:$N$5,0))*$J21*INDEX(Act_Type_Repex_Splits,MATCH($I21,Act_Type_Repex,0),MATCH(AB$4,Mat_Type,0))*INDEX(Escalators!$I$44:$Q$49,MATCH(AB$4,Escalators!$C$44:$C$49,0),MATCH(AB$5,Escalators!$I$43:$Q$43,0))</f>
        <v>0</v>
      </c>
      <c r="AC21" s="47">
        <f>INDEX(Lab_Mat!$K$6:$N$9,MATCH($H21,Lab_Mat!$J$6:$J$9,0),MATCH($AG$4,Lab_Mat!$K$5:$N$5,0))*$J21*INDEX(Act_Type_Repex_Splits,MATCH($I21,Act_Type_Repex,0),MATCH(AC$4,Mat_Type,0))*INDEX(Escalators!$I$44:$Q$49,MATCH(AC$4,Escalators!$C$44:$C$49,0),MATCH(AC$5,Escalators!$I$43:$Q$43,0))</f>
        <v>0</v>
      </c>
      <c r="AD21" s="47">
        <f>INDEX(Lab_Mat!$K$6:$N$9,MATCH($H21,Lab_Mat!$J$6:$J$9,0),MATCH($AG$4,Lab_Mat!$K$5:$N$5,0))*$J21*INDEX(Act_Type_Repex_Splits,MATCH($I21,Act_Type_Repex,0),MATCH(AD$4,Mat_Type,0))*INDEX(Escalators!$I$44:$Q$49,MATCH(AD$4,Escalators!$C$44:$C$49,0),MATCH(AD$5,Escalators!$I$43:$Q$43,0))</f>
        <v>0</v>
      </c>
      <c r="AE21" s="47">
        <f>INDEX(Lab_Mat!$K$6:$N$9,MATCH($H21,Lab_Mat!$J$6:$J$9,0),MATCH($AG$4,Lab_Mat!$K$5:$N$5,0))*$J21*INDEX(Act_Type_Repex_Splits,MATCH($I21,Act_Type_Repex,0),MATCH(AE$4,Mat_Type,0))*INDEX(Escalators!$I$44:$Q$49,MATCH(AE$4,Escalators!$C$44:$C$49,0),MATCH(AE$5,Escalators!$I$43:$Q$43,0))</f>
        <v>0</v>
      </c>
      <c r="AF21" s="47">
        <f>INDEX(Lab_Mat!$K$6:$N$9,MATCH($H21,Lab_Mat!$J$6:$J$9,0),MATCH($AG$4,Lab_Mat!$K$5:$N$5,0))*$J21*INDEX(Act_Type_Repex_Splits,MATCH($I21,Act_Type_Repex,0),MATCH(AF$4,Mat_Type,0))*INDEX(Escalators!$I$44:$Q$49,MATCH(AF$4,Escalators!$C$44:$C$49,0),MATCH(AF$5,Escalators!$I$43:$Q$43,0))</f>
        <v>0</v>
      </c>
      <c r="AG21" s="47">
        <f t="shared" si="32"/>
        <v>0</v>
      </c>
      <c r="AH21" s="47">
        <f>INDEX(Lab_Mat!$K$6:$N$9,MATCH($H21,Lab_Mat!$J$6:$J$9,0),MATCH($AY$4,Lab_Mat!$K$5:$N$5,0))*$K21*INDEX(Act_Type_Repex_Splits,MATCH($I21,Act_Type_Repex,0),MATCH(AH$4,Mat_Type,0))*INDEX(Escalators!$I$44:$U$49,MATCH(AH$4,Escalators!$C$44:$C$49,0),MATCH(AH$5,Escalators!$I$43:$U$43,0))</f>
        <v>0</v>
      </c>
      <c r="AI21" s="47">
        <f>INDEX(Lab_Mat!$K$6:$N$9,MATCH($H21,Lab_Mat!$J$6:$J$9,0),MATCH($AY$4,Lab_Mat!$K$5:$N$5,0))*$K21*INDEX(Act_Type_Repex_Splits,MATCH($I21,Act_Type_Repex,0),MATCH(AI$4,Mat_Type,0))*INDEX(Escalators!$I$44:$U$49,MATCH(AI$4,Escalators!$C$44:$C$49,0),MATCH(AI$5,Escalators!$I$43:$U$43,0))</f>
        <v>0</v>
      </c>
      <c r="AJ21" s="47">
        <f>INDEX(Lab_Mat!$K$6:$N$9,MATCH($H21,Lab_Mat!$J$6:$J$9,0),MATCH($AY$4,Lab_Mat!$K$5:$N$5,0))*$K21*INDEX(Act_Type_Repex_Splits,MATCH($I21,Act_Type_Repex,0),MATCH(AJ$4,Mat_Type,0))*INDEX(Escalators!$I$44:$U$49,MATCH(AJ$4,Escalators!$C$44:$C$49,0),MATCH(AJ$5,Escalators!$I$43:$U$43,0))</f>
        <v>0</v>
      </c>
      <c r="AK21" s="47">
        <f>INDEX(Lab_Mat!$K$6:$N$9,MATCH($H21,Lab_Mat!$J$6:$J$9,0),MATCH($AY$4,Lab_Mat!$K$5:$N$5,0))*$K21*INDEX(Act_Type_Repex_Splits,MATCH($I21,Act_Type_Repex,0),MATCH(AK$4,Mat_Type,0))*INDEX(Escalators!$I$44:$U$49,MATCH(AK$4,Escalators!$C$44:$C$49,0),MATCH(AK$5,Escalators!$I$43:$U$43,0))</f>
        <v>0</v>
      </c>
      <c r="AL21" s="47">
        <f>INDEX(Lab_Mat!$K$6:$N$9,MATCH($H21,Lab_Mat!$J$6:$J$9,0),MATCH($AY$4,Lab_Mat!$K$5:$N$5,0))*$K21*INDEX(Act_Type_Repex_Splits,MATCH($I21,Act_Type_Repex,0),MATCH(AL$4,Mat_Type,0))*INDEX(Escalators!$I$44:$U$49,MATCH(AL$4,Escalators!$C$44:$C$49,0),MATCH(AL$5,Escalators!$I$43:$U$43,0))</f>
        <v>0</v>
      </c>
      <c r="AM21" s="47">
        <f t="shared" si="33"/>
        <v>0</v>
      </c>
      <c r="AN21" s="47">
        <f>INDEX(Lab_Mat!$K$6:$N$9,MATCH($H21,Lab_Mat!$J$6:$J$9,0),MATCH($AY$4,Lab_Mat!$K$5:$N$5,0))*$L21*INDEX(Act_Type_Repex_Splits,MATCH($I21,Act_Type_Repex,0),MATCH(AN$4,Mat_Type,0))*INDEX(Escalators!$I$44:$U$49,MATCH(AN$4,Escalators!$C$44:$C$49,0),MATCH(AN$5,Escalators!$I$43:$U$43,0))</f>
        <v>0</v>
      </c>
      <c r="AO21" s="47">
        <f>INDEX(Lab_Mat!$K$6:$N$9,MATCH($H21,Lab_Mat!$J$6:$J$9,0),MATCH($AY$4,Lab_Mat!$K$5:$N$5,0))*$L21*INDEX(Act_Type_Repex_Splits,MATCH($I21,Act_Type_Repex,0),MATCH(AO$4,Mat_Type,0))*INDEX(Escalators!$I$44:$U$49,MATCH(AO$4,Escalators!$C$44:$C$49,0),MATCH(AO$5,Escalators!$I$43:$U$43,0))</f>
        <v>0</v>
      </c>
      <c r="AP21" s="47">
        <f>INDEX(Lab_Mat!$K$6:$N$9,MATCH($H21,Lab_Mat!$J$6:$J$9,0),MATCH($AY$4,Lab_Mat!$K$5:$N$5,0))*$L21*INDEX(Act_Type_Repex_Splits,MATCH($I21,Act_Type_Repex,0),MATCH(AP$4,Mat_Type,0))*INDEX(Escalators!$I$44:$U$49,MATCH(AP$4,Escalators!$C$44:$C$49,0),MATCH(AP$5,Escalators!$I$43:$U$43,0))</f>
        <v>0</v>
      </c>
      <c r="AQ21" s="47">
        <f>INDEX(Lab_Mat!$K$6:$N$9,MATCH($H21,Lab_Mat!$J$6:$J$9,0),MATCH($AY$4,Lab_Mat!$K$5:$N$5,0))*$L21*INDEX(Act_Type_Repex_Splits,MATCH($I21,Act_Type_Repex,0),MATCH(AQ$4,Mat_Type,0))*INDEX(Escalators!$I$44:$U$49,MATCH(AQ$4,Escalators!$C$44:$C$49,0),MATCH(AQ$5,Escalators!$I$43:$U$43,0))</f>
        <v>0</v>
      </c>
      <c r="AR21" s="47">
        <f>INDEX(Lab_Mat!$K$6:$N$9,MATCH($H21,Lab_Mat!$J$6:$J$9,0),MATCH($AY$4,Lab_Mat!$K$5:$N$5,0))*$L21*INDEX(Act_Type_Repex_Splits,MATCH($I21,Act_Type_Repex,0),MATCH(AR$4,Mat_Type,0))*INDEX(Escalators!$I$44:$U$49,MATCH(AR$4,Escalators!$C$44:$C$49,0),MATCH(AR$5,Escalators!$I$43:$U$43,0))</f>
        <v>0</v>
      </c>
      <c r="AS21" s="47">
        <f t="shared" si="34"/>
        <v>0</v>
      </c>
      <c r="AT21" s="47">
        <f>INDEX(Lab_Mat!$K$6:$N$9,MATCH($H21,Lab_Mat!$J$6:$J$9,0),MATCH($AY$4,Lab_Mat!$K$5:$N$5,0))*$M21*INDEX(Act_Type_Repex_Splits,MATCH($I21,Act_Type_Repex,0),MATCH(AT$4,Mat_Type,0))*INDEX(Escalators!$I$44:$U$49,MATCH(AT$4,Escalators!$C$44:$C$49,0),MATCH(AT$5,Escalators!$I$43:$U$43,0))</f>
        <v>0</v>
      </c>
      <c r="AU21" s="47">
        <f>INDEX(Lab_Mat!$K$6:$N$9,MATCH($H21,Lab_Mat!$J$6:$J$9,0),MATCH($AY$4,Lab_Mat!$K$5:$N$5,0))*$M21*INDEX(Act_Type_Repex_Splits,MATCH($I21,Act_Type_Repex,0),MATCH(AU$4,Mat_Type,0))*INDEX(Escalators!$I$44:$U$49,MATCH(AU$4,Escalators!$C$44:$C$49,0),MATCH(AU$5,Escalators!$I$43:$U$43,0))</f>
        <v>0</v>
      </c>
      <c r="AV21" s="47">
        <f>INDEX(Lab_Mat!$K$6:$N$9,MATCH($H21,Lab_Mat!$J$6:$J$9,0),MATCH($AY$4,Lab_Mat!$K$5:$N$5,0))*$M21*INDEX(Act_Type_Repex_Splits,MATCH($I21,Act_Type_Repex,0),MATCH(AV$4,Mat_Type,0))*INDEX(Escalators!$I$44:$U$49,MATCH(AV$4,Escalators!$C$44:$C$49,0),MATCH(AV$5,Escalators!$I$43:$U$43,0))</f>
        <v>0</v>
      </c>
      <c r="AW21" s="47">
        <f>INDEX(Lab_Mat!$K$6:$N$9,MATCH($H21,Lab_Mat!$J$6:$J$9,0),MATCH($AY$4,Lab_Mat!$K$5:$N$5,0))*$M21*INDEX(Act_Type_Repex_Splits,MATCH($I21,Act_Type_Repex,0),MATCH(AW$4,Mat_Type,0))*INDEX(Escalators!$I$44:$U$49,MATCH(AW$4,Escalators!$C$44:$C$49,0),MATCH(AW$5,Escalators!$I$43:$U$43,0))</f>
        <v>0</v>
      </c>
      <c r="AX21" s="47">
        <f>INDEX(Lab_Mat!$K$6:$N$9,MATCH($H21,Lab_Mat!$J$6:$J$9,0),MATCH($AY$4,Lab_Mat!$K$5:$N$5,0))*$M21*INDEX(Act_Type_Repex_Splits,MATCH($I21,Act_Type_Repex,0),MATCH(AX$4,Mat_Type,0))*INDEX(Escalators!$I$44:$U$49,MATCH(AX$4,Escalators!$C$44:$C$49,0),MATCH(AX$5,Escalators!$I$43:$U$43,0))</f>
        <v>0</v>
      </c>
      <c r="AY21" s="47">
        <f t="shared" si="35"/>
        <v>0</v>
      </c>
      <c r="AZ21" s="47">
        <f>INDEX(Lab_Mat!$K$6:$N$9,MATCH($H21,Lab_Mat!$J$6:$J$9,0),MATCH($BE$4,Lab_Mat!$K$5:$N$5,0))*$N21*INDEX(Act_Type_Repex_Splits,MATCH($I21,Act_Type_Repex,0),MATCH(AZ$4,Mat_Type,0))*INDEX(Escalators!$I$44:$U$49,MATCH(AZ$4,Escalators!$C$44:$C$49,0),MATCH(AZ$5,Escalators!$I$43:$U$43,0))</f>
        <v>0</v>
      </c>
      <c r="BA21" s="47">
        <f>INDEX(Lab_Mat!$K$6:$N$9,MATCH($H21,Lab_Mat!$J$6:$J$9,0),MATCH($BE$4,Lab_Mat!$K$5:$N$5,0))*$N21*INDEX(Act_Type_Repex_Splits,MATCH($I21,Act_Type_Repex,0),MATCH(BA$4,Mat_Type,0))*INDEX(Escalators!$I$44:$U$49,MATCH(BA$4,Escalators!$C$44:$C$49,0),MATCH(BA$5,Escalators!$I$43:$U$43,0))</f>
        <v>0</v>
      </c>
      <c r="BB21" s="47">
        <f>INDEX(Lab_Mat!$K$6:$N$9,MATCH($H21,Lab_Mat!$J$6:$J$9,0),MATCH($BE$4,Lab_Mat!$K$5:$N$5,0))*$N21*INDEX(Act_Type_Repex_Splits,MATCH($I21,Act_Type_Repex,0),MATCH(BB$4,Mat_Type,0))*INDEX(Escalators!$I$44:$U$49,MATCH(BB$4,Escalators!$C$44:$C$49,0),MATCH(BB$5,Escalators!$I$43:$U$43,0))</f>
        <v>0</v>
      </c>
      <c r="BC21" s="47">
        <f>INDEX(Lab_Mat!$K$6:$N$9,MATCH($H21,Lab_Mat!$J$6:$J$9,0),MATCH($BE$4,Lab_Mat!$K$5:$N$5,0))*$N21*INDEX(Act_Type_Repex_Splits,MATCH($I21,Act_Type_Repex,0),MATCH(BC$4,Mat_Type,0))*INDEX(Escalators!$I$44:$U$49,MATCH(BC$4,Escalators!$C$44:$C$49,0),MATCH(BC$5,Escalators!$I$43:$U$43,0))</f>
        <v>0</v>
      </c>
      <c r="BD21" s="47">
        <f>INDEX(Lab_Mat!$K$6:$N$9,MATCH($H21,Lab_Mat!$J$6:$J$9,0),MATCH($BE$4,Lab_Mat!$K$5:$N$5,0))*$N21*INDEX(Act_Type_Repex_Splits,MATCH($I21,Act_Type_Repex,0),MATCH(BD$4,Mat_Type,0))*INDEX(Escalators!$I$44:$U$49,MATCH(BD$4,Escalators!$C$44:$C$49,0),MATCH(BD$5,Escalators!$I$43:$U$43,0))</f>
        <v>0</v>
      </c>
      <c r="BE21" s="47">
        <f t="shared" si="36"/>
        <v>0</v>
      </c>
      <c r="BF21" s="47">
        <f>INDEX(Lab_Mat!$K$6:$N$9,MATCH($H21,Lab_Mat!$J$6:$J$9,0),MATCH($BK$4,Lab_Mat!$K$5:$N$5,0))*$O21*INDEX(Act_Type_Repex_Splits,MATCH($I21,Act_Type_Repex,0),MATCH(BF$4,Mat_Type,0))*INDEX(Escalators!$I$44:$U$49,MATCH(BF$4,Escalators!$C$44:$C$49,0),MATCH(BF$5,Escalators!$I$43:$U$43,0))</f>
        <v>0</v>
      </c>
      <c r="BG21" s="47">
        <f>INDEX(Lab_Mat!$K$6:$N$9,MATCH($H21,Lab_Mat!$J$6:$J$9,0),MATCH($BK$4,Lab_Mat!$K$5:$N$5,0))*$O21*INDEX(Act_Type_Repex_Splits,MATCH($I21,Act_Type_Repex,0),MATCH(BG$4,Mat_Type,0))*INDEX(Escalators!$I$44:$U$49,MATCH(BG$4,Escalators!$C$44:$C$49,0),MATCH(BG$5,Escalators!$I$43:$U$43,0))</f>
        <v>0</v>
      </c>
      <c r="BH21" s="47">
        <f>INDEX(Lab_Mat!$K$6:$N$9,MATCH($H21,Lab_Mat!$J$6:$J$9,0),MATCH($BK$4,Lab_Mat!$K$5:$N$5,0))*$O21*INDEX(Act_Type_Repex_Splits,MATCH($I21,Act_Type_Repex,0),MATCH(BH$4,Mat_Type,0))*INDEX(Escalators!$I$44:$U$49,MATCH(BH$4,Escalators!$C$44:$C$49,0),MATCH(BH$5,Escalators!$I$43:$U$43,0))</f>
        <v>0</v>
      </c>
      <c r="BI21" s="47">
        <f>INDEX(Lab_Mat!$K$6:$N$9,MATCH($H21,Lab_Mat!$J$6:$J$9,0),MATCH($BK$4,Lab_Mat!$K$5:$N$5,0))*$O21*INDEX(Act_Type_Repex_Splits,MATCH($I21,Act_Type_Repex,0),MATCH(BI$4,Mat_Type,0))*INDEX(Escalators!$I$44:$U$49,MATCH(BI$4,Escalators!$C$44:$C$49,0),MATCH(BI$5,Escalators!$I$43:$U$43,0))</f>
        <v>0</v>
      </c>
      <c r="BJ21" s="47">
        <f>INDEX(Lab_Mat!$K$6:$N$9,MATCH($H21,Lab_Mat!$J$6:$J$9,0),MATCH($BK$4,Lab_Mat!$K$5:$N$5,0))*$O21*INDEX(Act_Type_Repex_Splits,MATCH($I21,Act_Type_Repex,0),MATCH(BJ$4,Mat_Type,0))*INDEX(Escalators!$I$44:$U$49,MATCH(BJ$4,Escalators!$C$44:$C$49,0),MATCH(BJ$5,Escalators!$I$43:$U$43,0))</f>
        <v>0</v>
      </c>
      <c r="BK21" s="47">
        <f t="shared" si="37"/>
        <v>0</v>
      </c>
      <c r="BL21" s="47">
        <f>INDEX(Lab_Mat!$K$6:$N$9,MATCH($H21,Lab_Mat!$J$6:$J$9,0),MATCH($BQ$4,Lab_Mat!$K$5:$N$5,0))*$P21*INDEX(Act_Type_Repex_Splits,MATCH($I21,Act_Type_Repex,0),MATCH(BL$4,Mat_Type,0))*INDEX(Escalators!$I$44:$U$49,MATCH(BL$4,Escalators!$C$44:$C$49,0),MATCH(BL$5,Escalators!$I$43:$U$43,0))</f>
        <v>0</v>
      </c>
      <c r="BM21" s="47">
        <f>INDEX(Lab_Mat!$K$6:$N$9,MATCH($H21,Lab_Mat!$J$6:$J$9,0),MATCH($BQ$4,Lab_Mat!$K$5:$N$5,0))*$P21*INDEX(Act_Type_Repex_Splits,MATCH($I21,Act_Type_Repex,0),MATCH(BM$4,Mat_Type,0))*INDEX(Escalators!$I$44:$U$49,MATCH(BM$4,Escalators!$C$44:$C$49,0),MATCH(BM$5,Escalators!$I$43:$U$43,0))</f>
        <v>0</v>
      </c>
      <c r="BN21" s="47">
        <f>INDEX(Lab_Mat!$K$6:$N$9,MATCH($H21,Lab_Mat!$J$6:$J$9,0),MATCH($BQ$4,Lab_Mat!$K$5:$N$5,0))*$P21*INDEX(Act_Type_Repex_Splits,MATCH($I21,Act_Type_Repex,0),MATCH(BN$4,Mat_Type,0))*INDEX(Escalators!$I$44:$U$49,MATCH(BN$4,Escalators!$C$44:$C$49,0),MATCH(BN$5,Escalators!$I$43:$U$43,0))</f>
        <v>0</v>
      </c>
      <c r="BO21" s="47">
        <f>INDEX(Lab_Mat!$K$6:$N$9,MATCH($H21,Lab_Mat!$J$6:$J$9,0),MATCH($BQ$4,Lab_Mat!$K$5:$N$5,0))*$P21*INDEX(Act_Type_Repex_Splits,MATCH($I21,Act_Type_Repex,0),MATCH(BO$4,Mat_Type,0))*INDEX(Escalators!$I$44:$U$49,MATCH(BO$4,Escalators!$C$44:$C$49,0),MATCH(BO$5,Escalators!$I$43:$U$43,0))</f>
        <v>0</v>
      </c>
      <c r="BP21" s="47">
        <f>INDEX(Lab_Mat!$K$6:$N$9,MATCH($H21,Lab_Mat!$J$6:$J$9,0),MATCH($BQ$4,Lab_Mat!$K$5:$N$5,0))*$P21*INDEX(Act_Type_Repex_Splits,MATCH($I21,Act_Type_Repex,0),MATCH(BP$4,Mat_Type,0))*INDEX(Escalators!$I$44:$U$49,MATCH(BP$4,Escalators!$C$44:$C$49,0),MATCH(BP$5,Escalators!$I$43:$U$43,0))</f>
        <v>0</v>
      </c>
      <c r="BQ21" s="47">
        <f t="shared" si="38"/>
        <v>0</v>
      </c>
      <c r="BR21" s="47">
        <f>INDEX(Lab_Mat!$K$6:$N$9,MATCH($H21,Lab_Mat!$J$6:$J$9,0),MATCH($BW$4,Lab_Mat!$K$5:$N$5,0))*$Q21*INDEX(Act_Type_Repex_Splits,MATCH($I21,Act_Type_Repex,0),MATCH(BR$4,Mat_Type,0))*INDEX(Escalators!$I$44:$U$49,MATCH(BR$4,Escalators!$C$44:$C$49,0),MATCH(BR$5,Escalators!$I$43:$U$43,0))</f>
        <v>0</v>
      </c>
      <c r="BS21" s="47">
        <f>INDEX(Lab_Mat!$K$6:$N$9,MATCH($H21,Lab_Mat!$J$6:$J$9,0),MATCH($BW$4,Lab_Mat!$K$5:$N$5,0))*$Q21*INDEX(Act_Type_Repex_Splits,MATCH($I21,Act_Type_Repex,0),MATCH(BS$4,Mat_Type,0))*INDEX(Escalators!$I$44:$U$49,MATCH(BS$4,Escalators!$C$44:$C$49,0),MATCH(BS$5,Escalators!$I$43:$U$43,0))</f>
        <v>0</v>
      </c>
      <c r="BT21" s="47">
        <f>INDEX(Lab_Mat!$K$6:$N$9,MATCH($H21,Lab_Mat!$J$6:$J$9,0),MATCH($BW$4,Lab_Mat!$K$5:$N$5,0))*$Q21*INDEX(Act_Type_Repex_Splits,MATCH($I21,Act_Type_Repex,0),MATCH(BT$4,Mat_Type,0))*INDEX(Escalators!$I$44:$U$49,MATCH(BT$4,Escalators!$C$44:$C$49,0),MATCH(BT$5,Escalators!$I$43:$U$43,0))</f>
        <v>0</v>
      </c>
      <c r="BU21" s="47">
        <f>INDEX(Lab_Mat!$K$6:$N$9,MATCH($H21,Lab_Mat!$J$6:$J$9,0),MATCH($BW$4,Lab_Mat!$K$5:$N$5,0))*$Q21*INDEX(Act_Type_Repex_Splits,MATCH($I21,Act_Type_Repex,0),MATCH(BU$4,Mat_Type,0))*INDEX(Escalators!$I$44:$U$49,MATCH(BU$4,Escalators!$C$44:$C$49,0),MATCH(BU$5,Escalators!$I$43:$U$43,0))</f>
        <v>0</v>
      </c>
      <c r="BV21" s="47">
        <f>INDEX(Lab_Mat!$K$6:$N$9,MATCH($H21,Lab_Mat!$J$6:$J$9,0),MATCH($BW$4,Lab_Mat!$K$5:$N$5,0))*$Q21*INDEX(Act_Type_Repex_Splits,MATCH($I21,Act_Type_Repex,0),MATCH(BV$4,Mat_Type,0))*INDEX(Escalators!$I$44:$U$49,MATCH(BV$4,Escalators!$C$44:$C$49,0),MATCH(BV$5,Escalators!$I$43:$U$43,0))</f>
        <v>0</v>
      </c>
      <c r="BW21" s="47">
        <f t="shared" si="39"/>
        <v>0</v>
      </c>
      <c r="BY21" s="47">
        <f>INDEX(Lab_Mat!$K$6:$N$9,MATCH($H21,Lab_Mat!$J$6:$J$9,0),MATCH($BY$4,Lab_Mat!$K$5:$N$5,0))*J21*HLOOKUP(BY$5,Escalators!$I$25:$U$30,6,FALSE)</f>
        <v>0</v>
      </c>
      <c r="BZ21" s="47">
        <f>INDEX(Lab_Mat!$K$6:$N$9,MATCH($H21,Lab_Mat!$J$6:$J$9,0),MATCH($BY$4,Lab_Mat!$K$5:$N$5,0))*K21*HLOOKUP(BZ$5,Escalators!$I$25:$U$30,6,FALSE)</f>
        <v>0</v>
      </c>
      <c r="CA21" s="47">
        <f>INDEX(Lab_Mat!$K$6:$N$9,MATCH($H21,Lab_Mat!$J$6:$J$9,0),MATCH($BY$4,Lab_Mat!$K$5:$N$5,0))*L21*HLOOKUP(CA$5,Escalators!$I$25:$U$30,6,FALSE)</f>
        <v>0</v>
      </c>
      <c r="CB21" s="47">
        <f>INDEX(Lab_Mat!$K$6:$N$9,MATCH($H21,Lab_Mat!$J$6:$J$9,0),MATCH($BY$4,Lab_Mat!$K$5:$N$5,0))*M21*HLOOKUP(CB$5,Escalators!$I$25:$U$30,6,FALSE)</f>
        <v>0</v>
      </c>
      <c r="CC21" s="47">
        <f>INDEX(Lab_Mat!$K$6:$N$9,MATCH($H21,Lab_Mat!$J$6:$J$9,0),MATCH($BY$4,Lab_Mat!$K$5:$N$5,0))*N21*HLOOKUP(CC$5,Escalators!$I$25:$U$30,6,FALSE)</f>
        <v>0</v>
      </c>
      <c r="CD21" s="47">
        <f>INDEX(Lab_Mat!$K$6:$N$9,MATCH($H21,Lab_Mat!$J$6:$J$9,0),MATCH($BY$4,Lab_Mat!$K$5:$N$5,0))*O21*HLOOKUP(CD$5,Escalators!$I$25:$U$30,6,FALSE)</f>
        <v>0</v>
      </c>
      <c r="CE21" s="47">
        <f>INDEX(Lab_Mat!$K$6:$N$9,MATCH($H21,Lab_Mat!$J$6:$J$9,0),MATCH($BY$4,Lab_Mat!$K$5:$N$5,0))*P21*HLOOKUP(CE$5,Escalators!$I$25:$U$30,6,FALSE)</f>
        <v>0</v>
      </c>
      <c r="CF21" s="47">
        <f>INDEX(Lab_Mat!$K$6:$N$9,MATCH($H21,Lab_Mat!$J$6:$J$9,0),MATCH($BY$4,Lab_Mat!$K$5:$N$5,0))*Q21*HLOOKUP(CF$5,Escalators!$I$25:$U$30,6,FALSE)</f>
        <v>0</v>
      </c>
      <c r="CH21" s="47">
        <f>INDEX(Lab_Mat!$K$6:$N$9,MATCH($H21,Lab_Mat!$J$6:$J$9,0),MATCH($CH$4,Lab_Mat!$K$5:$N$5,0))*J21</f>
        <v>0</v>
      </c>
      <c r="CI21" s="47">
        <f>INDEX(Lab_Mat!$K$6:$N$9,MATCH($H21,Lab_Mat!$J$6:$J$9,0),MATCH($CH$4,Lab_Mat!$K$5:$N$5,0))*K21</f>
        <v>0</v>
      </c>
      <c r="CJ21" s="47">
        <f>INDEX(Lab_Mat!$K$6:$N$9,MATCH($H21,Lab_Mat!$J$6:$J$9,0),MATCH($CH$4,Lab_Mat!$K$5:$N$5,0))*L21</f>
        <v>0</v>
      </c>
      <c r="CK21" s="47">
        <f>INDEX(Lab_Mat!$K$6:$N$9,MATCH($H21,Lab_Mat!$J$6:$J$9,0),MATCH($CH$4,Lab_Mat!$K$5:$N$5,0))*M21</f>
        <v>0</v>
      </c>
      <c r="CL21" s="47">
        <f>INDEX(Lab_Mat!$K$6:$N$9,MATCH($H21,Lab_Mat!$J$6:$J$9,0),MATCH($CH$4,Lab_Mat!$K$5:$N$5,0))*N21</f>
        <v>0</v>
      </c>
      <c r="CM21" s="47">
        <f>INDEX(Lab_Mat!$K$6:$N$9,MATCH($H21,Lab_Mat!$J$6:$J$9,0),MATCH($CH$4,Lab_Mat!$K$5:$N$5,0))*O21</f>
        <v>0</v>
      </c>
      <c r="CN21" s="47">
        <f>INDEX(Lab_Mat!$K$6:$N$9,MATCH($H21,Lab_Mat!$J$6:$J$9,0),MATCH($CH$4,Lab_Mat!$K$5:$N$5,0))*P21</f>
        <v>0</v>
      </c>
      <c r="CO21" s="47">
        <f>INDEX(Lab_Mat!$K$6:$N$9,MATCH($H21,Lab_Mat!$J$6:$J$9,0),MATCH($CH$4,Lab_Mat!$K$5:$N$5,0))*Q21</f>
        <v>0</v>
      </c>
      <c r="CQ21" s="47">
        <f t="shared" si="24"/>
        <v>0</v>
      </c>
      <c r="CR21" s="47">
        <f t="shared" si="25"/>
        <v>0</v>
      </c>
      <c r="CS21" s="47">
        <f t="shared" si="26"/>
        <v>0</v>
      </c>
      <c r="CT21" s="47">
        <f t="shared" si="27"/>
        <v>0</v>
      </c>
      <c r="CU21" s="47">
        <f t="shared" si="28"/>
        <v>0</v>
      </c>
      <c r="CV21" s="47">
        <f t="shared" si="29"/>
        <v>0</v>
      </c>
      <c r="CW21" s="47">
        <f t="shared" si="30"/>
        <v>0</v>
      </c>
      <c r="CX21" s="47">
        <f t="shared" si="31"/>
        <v>0</v>
      </c>
      <c r="CY21" s="39"/>
      <c r="CZ21" s="39"/>
      <c r="DA21" s="39"/>
      <c r="DB21" s="39"/>
      <c r="DC21" s="39"/>
    </row>
    <row r="22" spans="2:109"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Y22" s="47"/>
      <c r="BZ22" s="47"/>
      <c r="CA22" s="47"/>
      <c r="CB22" s="47"/>
      <c r="CC22" s="47"/>
      <c r="CD22" s="47"/>
      <c r="CE22" s="47"/>
      <c r="CF22" s="47"/>
      <c r="CH22" s="47"/>
      <c r="CI22" s="47"/>
      <c r="CJ22" s="47"/>
      <c r="CK22" s="47"/>
      <c r="CL22" s="47"/>
      <c r="CM22" s="47"/>
      <c r="CN22" s="47"/>
      <c r="CO22" s="47"/>
      <c r="CQ22" s="47">
        <f t="shared" si="24"/>
        <v>0</v>
      </c>
      <c r="CR22" s="47">
        <f t="shared" si="25"/>
        <v>0</v>
      </c>
      <c r="CS22" s="47">
        <f t="shared" si="26"/>
        <v>0</v>
      </c>
      <c r="CT22" s="47">
        <f t="shared" si="27"/>
        <v>0</v>
      </c>
      <c r="CU22" s="47">
        <f t="shared" si="28"/>
        <v>0</v>
      </c>
      <c r="CV22" s="47">
        <f t="shared" si="29"/>
        <v>0</v>
      </c>
      <c r="CW22" s="47">
        <f t="shared" si="30"/>
        <v>0</v>
      </c>
      <c r="CX22" s="47">
        <f t="shared" si="31"/>
        <v>0</v>
      </c>
      <c r="DE22" s="1" t="str">
        <f t="shared" si="8"/>
        <v/>
      </c>
    </row>
    <row r="23" spans="2:109" x14ac:dyDescent="0.3">
      <c r="B23" s="7"/>
      <c r="C23" s="257" t="s">
        <v>411</v>
      </c>
      <c r="D23" s="7" t="s">
        <v>408</v>
      </c>
      <c r="E23" s="7" t="s">
        <v>44</v>
      </c>
      <c r="F23" s="7" t="s">
        <v>55</v>
      </c>
      <c r="G23" s="7" t="s">
        <v>10</v>
      </c>
      <c r="H23" s="7" t="s">
        <v>750</v>
      </c>
      <c r="I23" s="7" t="s">
        <v>186</v>
      </c>
      <c r="J23" s="45"/>
      <c r="K23" s="45"/>
      <c r="L23" s="45"/>
      <c r="M23" s="45">
        <v>10410.48366778005</v>
      </c>
      <c r="N23" s="45">
        <v>3331.203348339935</v>
      </c>
      <c r="O23" s="45">
        <v>0</v>
      </c>
      <c r="P23" s="45"/>
      <c r="Q23" s="45"/>
      <c r="S23" s="47">
        <f>INDEX(Lab_Mat!$K$6:$N$9,MATCH($H23,Lab_Mat!$J$6:$J$9,0),MATCH($S$4,Lab_Mat!$K$5:$N$5,0))*J23*HLOOKUP(S$5,Escalators!$I$25:$U$30,3,FALSE)</f>
        <v>0</v>
      </c>
      <c r="T23" s="47">
        <f>INDEX(Lab_Mat!$K$6:$N$9,MATCH($H23,Lab_Mat!$J$6:$J$9,0),MATCH($S$4,Lab_Mat!$K$5:$N$5,0))*K23*HLOOKUP(T$5,Escalators!$I$25:$U$30,3,FALSE)</f>
        <v>0</v>
      </c>
      <c r="U23" s="47">
        <f>INDEX(Lab_Mat!$K$6:$N$9,MATCH($H23,Lab_Mat!$J$6:$J$9,0),MATCH($S$4,Lab_Mat!$K$5:$N$5,0))*L23*HLOOKUP(U$5,Escalators!$I$25:$U$30,3,FALSE)</f>
        <v>0</v>
      </c>
      <c r="V23" s="47">
        <f>INDEX(Lab_Mat!$K$6:$N$9,MATCH($H23,Lab_Mat!$J$6:$J$9,0),MATCH($S$4,Lab_Mat!$K$5:$N$5,0))*M23*HLOOKUP(V$5,Escalators!$I$25:$U$30,3,FALSE)</f>
        <v>1977.7327680716396</v>
      </c>
      <c r="W23" s="47">
        <f>INDEX(Lab_Mat!$K$6:$N$9,MATCH($H23,Lab_Mat!$J$6:$J$9,0),MATCH($S$4,Lab_Mat!$K$5:$N$5,0))*N23*HLOOKUP(W$5,Escalators!$I$25:$U$30,3,FALSE)</f>
        <v>639.33881849027455</v>
      </c>
      <c r="X23" s="47">
        <f>INDEX(Lab_Mat!$K$6:$N$9,MATCH($H23,Lab_Mat!$J$6:$J$9,0),MATCH($S$4,Lab_Mat!$K$5:$N$5,0))*O23*HLOOKUP(X$5,Escalators!$I$25:$U$30,3,FALSE)</f>
        <v>0</v>
      </c>
      <c r="Y23" s="47">
        <f>INDEX(Lab_Mat!$K$6:$N$9,MATCH($H23,Lab_Mat!$J$6:$J$9,0),MATCH($S$4,Lab_Mat!$K$5:$N$5,0))*P23*HLOOKUP(Y$5,Escalators!$I$25:$U$30,3,FALSE)</f>
        <v>0</v>
      </c>
      <c r="Z23" s="47">
        <f>INDEX(Lab_Mat!$K$6:$N$9,MATCH($H23,Lab_Mat!$J$6:$J$9,0),MATCH($S$4,Lab_Mat!$K$5:$N$5,0))*Q23*HLOOKUP(Z$5,Escalators!$I$25:$U$30,3,FALSE)</f>
        <v>0</v>
      </c>
      <c r="AB23" s="47">
        <f>INDEX(Lab_Mat!$K$6:$N$9,MATCH($H23,Lab_Mat!$J$6:$J$9,0),MATCH($AG$4,Lab_Mat!$K$5:$N$5,0))*$J23*INDEX(Act_Type_Repex_Splits,MATCH($I23,Act_Type_Repex,0),MATCH(AB$4,Mat_Type,0))*INDEX(Escalators!$I$44:$Q$49,MATCH(AB$4,Escalators!$C$44:$C$49,0),MATCH(AB$5,Escalators!$I$43:$Q$43,0))</f>
        <v>0</v>
      </c>
      <c r="AC23" s="47">
        <f>INDEX(Lab_Mat!$K$6:$N$9,MATCH($H23,Lab_Mat!$J$6:$J$9,0),MATCH($AG$4,Lab_Mat!$K$5:$N$5,0))*$J23*INDEX(Act_Type_Repex_Splits,MATCH($I23,Act_Type_Repex,0),MATCH(AC$4,Mat_Type,0))*INDEX(Escalators!$I$44:$Q$49,MATCH(AC$4,Escalators!$C$44:$C$49,0),MATCH(AC$5,Escalators!$I$43:$Q$43,0))</f>
        <v>0</v>
      </c>
      <c r="AD23" s="47">
        <f>INDEX(Lab_Mat!$K$6:$N$9,MATCH($H23,Lab_Mat!$J$6:$J$9,0),MATCH($AG$4,Lab_Mat!$K$5:$N$5,0))*$J23*INDEX(Act_Type_Repex_Splits,MATCH($I23,Act_Type_Repex,0),MATCH(AD$4,Mat_Type,0))*INDEX(Escalators!$I$44:$Q$49,MATCH(AD$4,Escalators!$C$44:$C$49,0),MATCH(AD$5,Escalators!$I$43:$Q$43,0))</f>
        <v>0</v>
      </c>
      <c r="AE23" s="47">
        <f>INDEX(Lab_Mat!$K$6:$N$9,MATCH($H23,Lab_Mat!$J$6:$J$9,0),MATCH($AG$4,Lab_Mat!$K$5:$N$5,0))*$J23*INDEX(Act_Type_Repex_Splits,MATCH($I23,Act_Type_Repex,0),MATCH(AE$4,Mat_Type,0))*INDEX(Escalators!$I$44:$Q$49,MATCH(AE$4,Escalators!$C$44:$C$49,0),MATCH(AE$5,Escalators!$I$43:$Q$43,0))</f>
        <v>0</v>
      </c>
      <c r="AF23" s="47">
        <f>INDEX(Lab_Mat!$K$6:$N$9,MATCH($H23,Lab_Mat!$J$6:$J$9,0),MATCH($AG$4,Lab_Mat!$K$5:$N$5,0))*$J23*INDEX(Act_Type_Repex_Splits,MATCH($I23,Act_Type_Repex,0),MATCH(AF$4,Mat_Type,0))*INDEX(Escalators!$I$44:$Q$49,MATCH(AF$4,Escalators!$C$44:$C$49,0),MATCH(AF$5,Escalators!$I$43:$Q$43,0))</f>
        <v>0</v>
      </c>
      <c r="AG23" s="47">
        <f t="shared" ref="AG23:AG29" si="40">SUM(AB23:AF23)</f>
        <v>0</v>
      </c>
      <c r="AH23" s="47">
        <f>INDEX(Lab_Mat!$K$6:$N$9,MATCH($H23,Lab_Mat!$J$6:$J$9,0),MATCH($AY$4,Lab_Mat!$K$5:$N$5,0))*$K23*INDEX(Act_Type_Repex_Splits,MATCH($I23,Act_Type_Repex,0),MATCH(AH$4,Mat_Type,0))*INDEX(Escalators!$I$44:$U$49,MATCH(AH$4,Escalators!$C$44:$C$49,0),MATCH(AH$5,Escalators!$I$43:$U$43,0))</f>
        <v>0</v>
      </c>
      <c r="AI23" s="47">
        <f>INDEX(Lab_Mat!$K$6:$N$9,MATCH($H23,Lab_Mat!$J$6:$J$9,0),MATCH($AY$4,Lab_Mat!$K$5:$N$5,0))*$K23*INDEX(Act_Type_Repex_Splits,MATCH($I23,Act_Type_Repex,0),MATCH(AI$4,Mat_Type,0))*INDEX(Escalators!$I$44:$U$49,MATCH(AI$4,Escalators!$C$44:$C$49,0),MATCH(AI$5,Escalators!$I$43:$U$43,0))</f>
        <v>0</v>
      </c>
      <c r="AJ23" s="47">
        <f>INDEX(Lab_Mat!$K$6:$N$9,MATCH($H23,Lab_Mat!$J$6:$J$9,0),MATCH($AY$4,Lab_Mat!$K$5:$N$5,0))*$K23*INDEX(Act_Type_Repex_Splits,MATCH($I23,Act_Type_Repex,0),MATCH(AJ$4,Mat_Type,0))*INDEX(Escalators!$I$44:$U$49,MATCH(AJ$4,Escalators!$C$44:$C$49,0),MATCH(AJ$5,Escalators!$I$43:$U$43,0))</f>
        <v>0</v>
      </c>
      <c r="AK23" s="47">
        <f>INDEX(Lab_Mat!$K$6:$N$9,MATCH($H23,Lab_Mat!$J$6:$J$9,0),MATCH($AY$4,Lab_Mat!$K$5:$N$5,0))*$K23*INDEX(Act_Type_Repex_Splits,MATCH($I23,Act_Type_Repex,0),MATCH(AK$4,Mat_Type,0))*INDEX(Escalators!$I$44:$U$49,MATCH(AK$4,Escalators!$C$44:$C$49,0),MATCH(AK$5,Escalators!$I$43:$U$43,0))</f>
        <v>0</v>
      </c>
      <c r="AL23" s="47">
        <f>INDEX(Lab_Mat!$K$6:$N$9,MATCH($H23,Lab_Mat!$J$6:$J$9,0),MATCH($AY$4,Lab_Mat!$K$5:$N$5,0))*$K23*INDEX(Act_Type_Repex_Splits,MATCH($I23,Act_Type_Repex,0),MATCH(AL$4,Mat_Type,0))*INDEX(Escalators!$I$44:$U$49,MATCH(AL$4,Escalators!$C$44:$C$49,0),MATCH(AL$5,Escalators!$I$43:$U$43,0))</f>
        <v>0</v>
      </c>
      <c r="AM23" s="47">
        <f t="shared" ref="AM23:AM29" si="41">SUM(AH23:AL23)</f>
        <v>0</v>
      </c>
      <c r="AN23" s="47">
        <f>INDEX(Lab_Mat!$K$6:$N$9,MATCH($H23,Lab_Mat!$J$6:$J$9,0),MATCH($AY$4,Lab_Mat!$K$5:$N$5,0))*$L23*INDEX(Act_Type_Repex_Splits,MATCH($I23,Act_Type_Repex,0),MATCH(AN$4,Mat_Type,0))*INDEX(Escalators!$I$44:$U$49,MATCH(AN$4,Escalators!$C$44:$C$49,0),MATCH(AN$5,Escalators!$I$43:$U$43,0))</f>
        <v>0</v>
      </c>
      <c r="AO23" s="47">
        <f>INDEX(Lab_Mat!$K$6:$N$9,MATCH($H23,Lab_Mat!$J$6:$J$9,0),MATCH($AY$4,Lab_Mat!$K$5:$N$5,0))*$L23*INDEX(Act_Type_Repex_Splits,MATCH($I23,Act_Type_Repex,0),MATCH(AO$4,Mat_Type,0))*INDEX(Escalators!$I$44:$U$49,MATCH(AO$4,Escalators!$C$44:$C$49,0),MATCH(AO$5,Escalators!$I$43:$U$43,0))</f>
        <v>0</v>
      </c>
      <c r="AP23" s="47">
        <f>INDEX(Lab_Mat!$K$6:$N$9,MATCH($H23,Lab_Mat!$J$6:$J$9,0),MATCH($AY$4,Lab_Mat!$K$5:$N$5,0))*$L23*INDEX(Act_Type_Repex_Splits,MATCH($I23,Act_Type_Repex,0),MATCH(AP$4,Mat_Type,0))*INDEX(Escalators!$I$44:$U$49,MATCH(AP$4,Escalators!$C$44:$C$49,0),MATCH(AP$5,Escalators!$I$43:$U$43,0))</f>
        <v>0</v>
      </c>
      <c r="AQ23" s="47">
        <f>INDEX(Lab_Mat!$K$6:$N$9,MATCH($H23,Lab_Mat!$J$6:$J$9,0),MATCH($AY$4,Lab_Mat!$K$5:$N$5,0))*$L23*INDEX(Act_Type_Repex_Splits,MATCH($I23,Act_Type_Repex,0),MATCH(AQ$4,Mat_Type,0))*INDEX(Escalators!$I$44:$U$49,MATCH(AQ$4,Escalators!$C$44:$C$49,0),MATCH(AQ$5,Escalators!$I$43:$U$43,0))</f>
        <v>0</v>
      </c>
      <c r="AR23" s="47">
        <f>INDEX(Lab_Mat!$K$6:$N$9,MATCH($H23,Lab_Mat!$J$6:$J$9,0),MATCH($AY$4,Lab_Mat!$K$5:$N$5,0))*$L23*INDEX(Act_Type_Repex_Splits,MATCH($I23,Act_Type_Repex,0),MATCH(AR$4,Mat_Type,0))*INDEX(Escalators!$I$44:$U$49,MATCH(AR$4,Escalators!$C$44:$C$49,0),MATCH(AR$5,Escalators!$I$43:$U$43,0))</f>
        <v>0</v>
      </c>
      <c r="AS23" s="47">
        <f t="shared" ref="AS23:AS29" si="42">SUM(AN23:AR23)</f>
        <v>0</v>
      </c>
      <c r="AT23" s="47">
        <f>INDEX(Lab_Mat!$K$6:$N$9,MATCH($H23,Lab_Mat!$J$6:$J$9,0),MATCH($AY$4,Lab_Mat!$K$5:$N$5,0))*$M23*INDEX(Act_Type_Repex_Splits,MATCH($I23,Act_Type_Repex,0),MATCH(AT$4,Mat_Type,0))*INDEX(Escalators!$I$44:$U$49,MATCH(AT$4,Escalators!$C$44:$C$49,0),MATCH(AT$5,Escalators!$I$43:$U$43,0))</f>
        <v>0</v>
      </c>
      <c r="AU23" s="47">
        <f>INDEX(Lab_Mat!$K$6:$N$9,MATCH($H23,Lab_Mat!$J$6:$J$9,0),MATCH($AY$4,Lab_Mat!$K$5:$N$5,0))*$M23*INDEX(Act_Type_Repex_Splits,MATCH($I23,Act_Type_Repex,0),MATCH(AU$4,Mat_Type,0))*INDEX(Escalators!$I$44:$U$49,MATCH(AU$4,Escalators!$C$44:$C$49,0),MATCH(AU$5,Escalators!$I$43:$U$43,0))</f>
        <v>1690.7738263479393</v>
      </c>
      <c r="AV23" s="47">
        <f>INDEX(Lab_Mat!$K$6:$N$9,MATCH($H23,Lab_Mat!$J$6:$J$9,0),MATCH($AY$4,Lab_Mat!$K$5:$N$5,0))*$M23*INDEX(Act_Type_Repex_Splits,MATCH($I23,Act_Type_Repex,0),MATCH(AV$4,Mat_Type,0))*INDEX(Escalators!$I$44:$U$49,MATCH(AV$4,Escalators!$C$44:$C$49,0),MATCH(AV$5,Escalators!$I$43:$U$43,0))</f>
        <v>3381.5476526958787</v>
      </c>
      <c r="AW23" s="47">
        <f>INDEX(Lab_Mat!$K$6:$N$9,MATCH($H23,Lab_Mat!$J$6:$J$9,0),MATCH($AY$4,Lab_Mat!$K$5:$N$5,0))*$M23*INDEX(Act_Type_Repex_Splits,MATCH($I23,Act_Type_Repex,0),MATCH(AW$4,Mat_Type,0))*INDEX(Escalators!$I$44:$U$49,MATCH(AW$4,Escalators!$C$44:$C$49,0),MATCH(AW$5,Escalators!$I$43:$U$43,0))</f>
        <v>563.59127544931323</v>
      </c>
      <c r="AX23" s="47">
        <f>INDEX(Lab_Mat!$K$6:$N$9,MATCH($H23,Lab_Mat!$J$6:$J$9,0),MATCH($AY$4,Lab_Mat!$K$5:$N$5,0))*$M23*INDEX(Act_Type_Repex_Splits,MATCH($I23,Act_Type_Repex,0),MATCH(AX$4,Mat_Type,0))*INDEX(Escalators!$I$44:$U$49,MATCH(AX$4,Escalators!$C$44:$C$49,0),MATCH(AX$5,Escalators!$I$43:$U$43,0))</f>
        <v>0</v>
      </c>
      <c r="AY23" s="47">
        <f t="shared" ref="AY23:AY29" si="43">SUM(AT23:AX23)</f>
        <v>5635.9127544931307</v>
      </c>
      <c r="AZ23" s="47">
        <f>INDEX(Lab_Mat!$K$6:$N$9,MATCH($H23,Lab_Mat!$J$6:$J$9,0),MATCH($BE$4,Lab_Mat!$K$5:$N$5,0))*$N23*INDEX(Act_Type_Repex_Splits,MATCH($I23,Act_Type_Repex,0),MATCH(AZ$4,Mat_Type,0))*INDEX(Escalators!$I$44:$U$49,MATCH(AZ$4,Escalators!$C$44:$C$49,0),MATCH(AZ$5,Escalators!$I$43:$U$43,0))</f>
        <v>0</v>
      </c>
      <c r="BA23" s="47">
        <f>INDEX(Lab_Mat!$K$6:$N$9,MATCH($H23,Lab_Mat!$J$6:$J$9,0),MATCH($BE$4,Lab_Mat!$K$5:$N$5,0))*$N23*INDEX(Act_Type_Repex_Splits,MATCH($I23,Act_Type_Repex,0),MATCH(BA$4,Mat_Type,0))*INDEX(Escalators!$I$44:$U$49,MATCH(BA$4,Escalators!$C$44:$C$49,0),MATCH(BA$5,Escalators!$I$43:$U$43,0))</f>
        <v>541.02303133595171</v>
      </c>
      <c r="BB23" s="47">
        <f>INDEX(Lab_Mat!$K$6:$N$9,MATCH($H23,Lab_Mat!$J$6:$J$9,0),MATCH($BE$4,Lab_Mat!$K$5:$N$5,0))*$N23*INDEX(Act_Type_Repex_Splits,MATCH($I23,Act_Type_Repex,0),MATCH(BB$4,Mat_Type,0))*INDEX(Escalators!$I$44:$U$49,MATCH(BB$4,Escalators!$C$44:$C$49,0),MATCH(BB$5,Escalators!$I$43:$U$43,0))</f>
        <v>1082.0460626719034</v>
      </c>
      <c r="BC23" s="47">
        <f>INDEX(Lab_Mat!$K$6:$N$9,MATCH($H23,Lab_Mat!$J$6:$J$9,0),MATCH($BE$4,Lab_Mat!$K$5:$N$5,0))*$N23*INDEX(Act_Type_Repex_Splits,MATCH($I23,Act_Type_Repex,0),MATCH(BC$4,Mat_Type,0))*INDEX(Escalators!$I$44:$U$49,MATCH(BC$4,Escalators!$C$44:$C$49,0),MATCH(BC$5,Escalators!$I$43:$U$43,0))</f>
        <v>180.34101044531724</v>
      </c>
      <c r="BD23" s="47">
        <f>INDEX(Lab_Mat!$K$6:$N$9,MATCH($H23,Lab_Mat!$J$6:$J$9,0),MATCH($BE$4,Lab_Mat!$K$5:$N$5,0))*$N23*INDEX(Act_Type_Repex_Splits,MATCH($I23,Act_Type_Repex,0),MATCH(BD$4,Mat_Type,0))*INDEX(Escalators!$I$44:$U$49,MATCH(BD$4,Escalators!$C$44:$C$49,0),MATCH(BD$5,Escalators!$I$43:$U$43,0))</f>
        <v>0</v>
      </c>
      <c r="BE23" s="47">
        <f t="shared" ref="BE23:BE29" si="44">SUM(AZ23:BD23)</f>
        <v>1803.4101044531726</v>
      </c>
      <c r="BF23" s="47">
        <f>INDEX(Lab_Mat!$K$6:$N$9,MATCH($H23,Lab_Mat!$J$6:$J$9,0),MATCH($BK$4,Lab_Mat!$K$5:$N$5,0))*$O23*INDEX(Act_Type_Repex_Splits,MATCH($I23,Act_Type_Repex,0),MATCH(BF$4,Mat_Type,0))*INDEX(Escalators!$I$44:$U$49,MATCH(BF$4,Escalators!$C$44:$C$49,0),MATCH(BF$5,Escalators!$I$43:$U$43,0))</f>
        <v>0</v>
      </c>
      <c r="BG23" s="47">
        <f>INDEX(Lab_Mat!$K$6:$N$9,MATCH($H23,Lab_Mat!$J$6:$J$9,0),MATCH($BK$4,Lab_Mat!$K$5:$N$5,0))*$O23*INDEX(Act_Type_Repex_Splits,MATCH($I23,Act_Type_Repex,0),MATCH(BG$4,Mat_Type,0))*INDEX(Escalators!$I$44:$U$49,MATCH(BG$4,Escalators!$C$44:$C$49,0),MATCH(BG$5,Escalators!$I$43:$U$43,0))</f>
        <v>0</v>
      </c>
      <c r="BH23" s="47">
        <f>INDEX(Lab_Mat!$K$6:$N$9,MATCH($H23,Lab_Mat!$J$6:$J$9,0),MATCH($BK$4,Lab_Mat!$K$5:$N$5,0))*$O23*INDEX(Act_Type_Repex_Splits,MATCH($I23,Act_Type_Repex,0),MATCH(BH$4,Mat_Type,0))*INDEX(Escalators!$I$44:$U$49,MATCH(BH$4,Escalators!$C$44:$C$49,0),MATCH(BH$5,Escalators!$I$43:$U$43,0))</f>
        <v>0</v>
      </c>
      <c r="BI23" s="47">
        <f>INDEX(Lab_Mat!$K$6:$N$9,MATCH($H23,Lab_Mat!$J$6:$J$9,0),MATCH($BK$4,Lab_Mat!$K$5:$N$5,0))*$O23*INDEX(Act_Type_Repex_Splits,MATCH($I23,Act_Type_Repex,0),MATCH(BI$4,Mat_Type,0))*INDEX(Escalators!$I$44:$U$49,MATCH(BI$4,Escalators!$C$44:$C$49,0),MATCH(BI$5,Escalators!$I$43:$U$43,0))</f>
        <v>0</v>
      </c>
      <c r="BJ23" s="47">
        <f>INDEX(Lab_Mat!$K$6:$N$9,MATCH($H23,Lab_Mat!$J$6:$J$9,0),MATCH($BK$4,Lab_Mat!$K$5:$N$5,0))*$O23*INDEX(Act_Type_Repex_Splits,MATCH($I23,Act_Type_Repex,0),MATCH(BJ$4,Mat_Type,0))*INDEX(Escalators!$I$44:$U$49,MATCH(BJ$4,Escalators!$C$44:$C$49,0),MATCH(BJ$5,Escalators!$I$43:$U$43,0))</f>
        <v>0</v>
      </c>
      <c r="BK23" s="47">
        <f t="shared" ref="BK23:BK29" si="45">SUM(BF23:BJ23)</f>
        <v>0</v>
      </c>
      <c r="BL23" s="47">
        <f>INDEX(Lab_Mat!$K$6:$N$9,MATCH($H23,Lab_Mat!$J$6:$J$9,0),MATCH($BQ$4,Lab_Mat!$K$5:$N$5,0))*$P23*INDEX(Act_Type_Repex_Splits,MATCH($I23,Act_Type_Repex,0),MATCH(BL$4,Mat_Type,0))*INDEX(Escalators!$I$44:$U$49,MATCH(BL$4,Escalators!$C$44:$C$49,0),MATCH(BL$5,Escalators!$I$43:$U$43,0))</f>
        <v>0</v>
      </c>
      <c r="BM23" s="47">
        <f>INDEX(Lab_Mat!$K$6:$N$9,MATCH($H23,Lab_Mat!$J$6:$J$9,0),MATCH($BQ$4,Lab_Mat!$K$5:$N$5,0))*$P23*INDEX(Act_Type_Repex_Splits,MATCH($I23,Act_Type_Repex,0),MATCH(BM$4,Mat_Type,0))*INDEX(Escalators!$I$44:$U$49,MATCH(BM$4,Escalators!$C$44:$C$49,0),MATCH(BM$5,Escalators!$I$43:$U$43,0))</f>
        <v>0</v>
      </c>
      <c r="BN23" s="47">
        <f>INDEX(Lab_Mat!$K$6:$N$9,MATCH($H23,Lab_Mat!$J$6:$J$9,0),MATCH($BQ$4,Lab_Mat!$K$5:$N$5,0))*$P23*INDEX(Act_Type_Repex_Splits,MATCH($I23,Act_Type_Repex,0),MATCH(BN$4,Mat_Type,0))*INDEX(Escalators!$I$44:$U$49,MATCH(BN$4,Escalators!$C$44:$C$49,0),MATCH(BN$5,Escalators!$I$43:$U$43,0))</f>
        <v>0</v>
      </c>
      <c r="BO23" s="47">
        <f>INDEX(Lab_Mat!$K$6:$N$9,MATCH($H23,Lab_Mat!$J$6:$J$9,0),MATCH($BQ$4,Lab_Mat!$K$5:$N$5,0))*$P23*INDEX(Act_Type_Repex_Splits,MATCH($I23,Act_Type_Repex,0),MATCH(BO$4,Mat_Type,0))*INDEX(Escalators!$I$44:$U$49,MATCH(BO$4,Escalators!$C$44:$C$49,0),MATCH(BO$5,Escalators!$I$43:$U$43,0))</f>
        <v>0</v>
      </c>
      <c r="BP23" s="47">
        <f>INDEX(Lab_Mat!$K$6:$N$9,MATCH($H23,Lab_Mat!$J$6:$J$9,0),MATCH($BQ$4,Lab_Mat!$K$5:$N$5,0))*$P23*INDEX(Act_Type_Repex_Splits,MATCH($I23,Act_Type_Repex,0),MATCH(BP$4,Mat_Type,0))*INDEX(Escalators!$I$44:$U$49,MATCH(BP$4,Escalators!$C$44:$C$49,0),MATCH(BP$5,Escalators!$I$43:$U$43,0))</f>
        <v>0</v>
      </c>
      <c r="BQ23" s="47">
        <f t="shared" ref="BQ23:BQ29" si="46">SUM(BL23:BP23)</f>
        <v>0</v>
      </c>
      <c r="BR23" s="47">
        <f>INDEX(Lab_Mat!$K$6:$N$9,MATCH($H23,Lab_Mat!$J$6:$J$9,0),MATCH($BW$4,Lab_Mat!$K$5:$N$5,0))*$Q23*INDEX(Act_Type_Repex_Splits,MATCH($I23,Act_Type_Repex,0),MATCH(BR$4,Mat_Type,0))*INDEX(Escalators!$I$44:$U$49,MATCH(BR$4,Escalators!$C$44:$C$49,0),MATCH(BR$5,Escalators!$I$43:$U$43,0))</f>
        <v>0</v>
      </c>
      <c r="BS23" s="47">
        <f>INDEX(Lab_Mat!$K$6:$N$9,MATCH($H23,Lab_Mat!$J$6:$J$9,0),MATCH($BW$4,Lab_Mat!$K$5:$N$5,0))*$Q23*INDEX(Act_Type_Repex_Splits,MATCH($I23,Act_Type_Repex,0),MATCH(BS$4,Mat_Type,0))*INDEX(Escalators!$I$44:$U$49,MATCH(BS$4,Escalators!$C$44:$C$49,0),MATCH(BS$5,Escalators!$I$43:$U$43,0))</f>
        <v>0</v>
      </c>
      <c r="BT23" s="47">
        <f>INDEX(Lab_Mat!$K$6:$N$9,MATCH($H23,Lab_Mat!$J$6:$J$9,0),MATCH($BW$4,Lab_Mat!$K$5:$N$5,0))*$Q23*INDEX(Act_Type_Repex_Splits,MATCH($I23,Act_Type_Repex,0),MATCH(BT$4,Mat_Type,0))*INDEX(Escalators!$I$44:$U$49,MATCH(BT$4,Escalators!$C$44:$C$49,0),MATCH(BT$5,Escalators!$I$43:$U$43,0))</f>
        <v>0</v>
      </c>
      <c r="BU23" s="47">
        <f>INDEX(Lab_Mat!$K$6:$N$9,MATCH($H23,Lab_Mat!$J$6:$J$9,0),MATCH($BW$4,Lab_Mat!$K$5:$N$5,0))*$Q23*INDEX(Act_Type_Repex_Splits,MATCH($I23,Act_Type_Repex,0),MATCH(BU$4,Mat_Type,0))*INDEX(Escalators!$I$44:$U$49,MATCH(BU$4,Escalators!$C$44:$C$49,0),MATCH(BU$5,Escalators!$I$43:$U$43,0))</f>
        <v>0</v>
      </c>
      <c r="BV23" s="47">
        <f>INDEX(Lab_Mat!$K$6:$N$9,MATCH($H23,Lab_Mat!$J$6:$J$9,0),MATCH($BW$4,Lab_Mat!$K$5:$N$5,0))*$Q23*INDEX(Act_Type_Repex_Splits,MATCH($I23,Act_Type_Repex,0),MATCH(BV$4,Mat_Type,0))*INDEX(Escalators!$I$44:$U$49,MATCH(BV$4,Escalators!$C$44:$C$49,0),MATCH(BV$5,Escalators!$I$43:$U$43,0))</f>
        <v>0</v>
      </c>
      <c r="BW23" s="47">
        <f t="shared" ref="BW23:BW29" si="47">SUM(BR23:BV23)</f>
        <v>0</v>
      </c>
      <c r="BY23" s="47">
        <f>INDEX(Lab_Mat!$K$6:$N$9,MATCH($H23,Lab_Mat!$J$6:$J$9,0),MATCH($BY$4,Lab_Mat!$K$5:$N$5,0))*J23*HLOOKUP(BY$5,Escalators!$I$25:$U$30,6,FALSE)</f>
        <v>0</v>
      </c>
      <c r="BZ23" s="47">
        <f>INDEX(Lab_Mat!$K$6:$N$9,MATCH($H23,Lab_Mat!$J$6:$J$9,0),MATCH($BY$4,Lab_Mat!$K$5:$N$5,0))*K23*HLOOKUP(BZ$5,Escalators!$I$25:$U$30,6,FALSE)</f>
        <v>0</v>
      </c>
      <c r="CA23" s="47">
        <f>INDEX(Lab_Mat!$K$6:$N$9,MATCH($H23,Lab_Mat!$J$6:$J$9,0),MATCH($BY$4,Lab_Mat!$K$5:$N$5,0))*L23*HLOOKUP(CA$5,Escalators!$I$25:$U$30,6,FALSE)</f>
        <v>0</v>
      </c>
      <c r="CB23" s="47">
        <f>INDEX(Lab_Mat!$K$6:$N$9,MATCH($H23,Lab_Mat!$J$6:$J$9,0),MATCH($BY$4,Lab_Mat!$K$5:$N$5,0))*M23*HLOOKUP(CB$5,Escalators!$I$25:$U$30,6,FALSE)</f>
        <v>2113.758065229521</v>
      </c>
      <c r="CC23" s="47">
        <f>INDEX(Lab_Mat!$K$6:$N$9,MATCH($H23,Lab_Mat!$J$6:$J$9,0),MATCH($BY$4,Lab_Mat!$K$5:$N$5,0))*N23*HLOOKUP(CC$5,Escalators!$I$25:$U$30,6,FALSE)</f>
        <v>683.31152004717057</v>
      </c>
      <c r="CD23" s="47">
        <f>INDEX(Lab_Mat!$K$6:$N$9,MATCH($H23,Lab_Mat!$J$6:$J$9,0),MATCH($BY$4,Lab_Mat!$K$5:$N$5,0))*O23*HLOOKUP(CD$5,Escalators!$I$25:$U$30,6,FALSE)</f>
        <v>0</v>
      </c>
      <c r="CE23" s="47">
        <f>INDEX(Lab_Mat!$K$6:$N$9,MATCH($H23,Lab_Mat!$J$6:$J$9,0),MATCH($BY$4,Lab_Mat!$K$5:$N$5,0))*P23*HLOOKUP(CE$5,Escalators!$I$25:$U$30,6,FALSE)</f>
        <v>0</v>
      </c>
      <c r="CF23" s="47">
        <f>INDEX(Lab_Mat!$K$6:$N$9,MATCH($H23,Lab_Mat!$J$6:$J$9,0),MATCH($BY$4,Lab_Mat!$K$5:$N$5,0))*Q23*HLOOKUP(CF$5,Escalators!$I$25:$U$30,6,FALSE)</f>
        <v>0</v>
      </c>
      <c r="CH23" s="47">
        <f>INDEX(Lab_Mat!$K$6:$N$9,MATCH($H23,Lab_Mat!$J$6:$J$9,0),MATCH($CH$4,Lab_Mat!$K$5:$N$5,0))*J23</f>
        <v>0</v>
      </c>
      <c r="CI23" s="47">
        <f>INDEX(Lab_Mat!$K$6:$N$9,MATCH($H23,Lab_Mat!$J$6:$J$9,0),MATCH($CH$4,Lab_Mat!$K$5:$N$5,0))*K23</f>
        <v>0</v>
      </c>
      <c r="CJ23" s="47">
        <f>INDEX(Lab_Mat!$K$6:$N$9,MATCH($H23,Lab_Mat!$J$6:$J$9,0),MATCH($CH$4,Lab_Mat!$K$5:$N$5,0))*L23</f>
        <v>0</v>
      </c>
      <c r="CK23" s="47">
        <f>INDEX(Lab_Mat!$K$6:$N$9,MATCH($H23,Lab_Mat!$J$6:$J$9,0),MATCH($CH$4,Lab_Mat!$K$5:$N$5,0))*M23</f>
        <v>813.84472836904695</v>
      </c>
      <c r="CL23" s="47">
        <f>INDEX(Lab_Mat!$K$6:$N$9,MATCH($H23,Lab_Mat!$J$6:$J$9,0),MATCH($CH$4,Lab_Mat!$K$5:$N$5,0))*N23</f>
        <v>260.41847532621796</v>
      </c>
      <c r="CM23" s="47">
        <f>INDEX(Lab_Mat!$K$6:$N$9,MATCH($H23,Lab_Mat!$J$6:$J$9,0),MATCH($CH$4,Lab_Mat!$K$5:$N$5,0))*O23</f>
        <v>0</v>
      </c>
      <c r="CN23" s="47">
        <f>INDEX(Lab_Mat!$K$6:$N$9,MATCH($H23,Lab_Mat!$J$6:$J$9,0),MATCH($CH$4,Lab_Mat!$K$5:$N$5,0))*P23</f>
        <v>0</v>
      </c>
      <c r="CO23" s="47">
        <f>INDEX(Lab_Mat!$K$6:$N$9,MATCH($H23,Lab_Mat!$J$6:$J$9,0),MATCH($CH$4,Lab_Mat!$K$5:$N$5,0))*Q23</f>
        <v>0</v>
      </c>
      <c r="CQ23" s="47">
        <f t="shared" si="24"/>
        <v>0</v>
      </c>
      <c r="CR23" s="47">
        <f t="shared" si="25"/>
        <v>0</v>
      </c>
      <c r="CS23" s="47">
        <f t="shared" si="26"/>
        <v>0</v>
      </c>
      <c r="CT23" s="47">
        <f t="shared" si="27"/>
        <v>10541.248316163339</v>
      </c>
      <c r="CU23" s="47">
        <f t="shared" si="28"/>
        <v>3386.4789183168359</v>
      </c>
      <c r="CV23" s="47">
        <f t="shared" si="29"/>
        <v>0</v>
      </c>
      <c r="CW23" s="47">
        <f t="shared" si="30"/>
        <v>0</v>
      </c>
      <c r="CX23" s="47">
        <f t="shared" si="31"/>
        <v>0</v>
      </c>
    </row>
    <row r="24" spans="2:109" x14ac:dyDescent="0.3">
      <c r="B24" s="7"/>
      <c r="C24" s="7" t="s">
        <v>412</v>
      </c>
      <c r="D24" s="7" t="s">
        <v>408</v>
      </c>
      <c r="E24" s="7" t="s">
        <v>45</v>
      </c>
      <c r="F24" s="7" t="s">
        <v>55</v>
      </c>
      <c r="G24" s="7" t="s">
        <v>10</v>
      </c>
      <c r="H24" s="7" t="s">
        <v>560</v>
      </c>
      <c r="I24" s="7" t="s">
        <v>186</v>
      </c>
      <c r="J24" s="45"/>
      <c r="K24" s="45"/>
      <c r="L24" s="45"/>
      <c r="M24" s="45">
        <v>3908.6402454716917</v>
      </c>
      <c r="N24" s="45">
        <v>1806.6576671057999</v>
      </c>
      <c r="O24" s="45">
        <v>0</v>
      </c>
      <c r="P24" s="45"/>
      <c r="Q24" s="45"/>
      <c r="S24" s="47">
        <f>INDEX(Lab_Mat!$K$6:$N$9,MATCH($H24,Lab_Mat!$J$6:$J$9,0),MATCH($S$4,Lab_Mat!$K$5:$N$5,0))*J24*HLOOKUP(S$5,Escalators!$I$25:$U$30,3,FALSE)</f>
        <v>0</v>
      </c>
      <c r="T24" s="47">
        <f>INDEX(Lab_Mat!$K$6:$N$9,MATCH($H24,Lab_Mat!$J$6:$J$9,0),MATCH($S$4,Lab_Mat!$K$5:$N$5,0))*K24*HLOOKUP(T$5,Escalators!$I$25:$U$30,3,FALSE)</f>
        <v>0</v>
      </c>
      <c r="U24" s="47">
        <f>INDEX(Lab_Mat!$K$6:$N$9,MATCH($H24,Lab_Mat!$J$6:$J$9,0),MATCH($S$4,Lab_Mat!$K$5:$N$5,0))*L24*HLOOKUP(U$5,Escalators!$I$25:$U$30,3,FALSE)</f>
        <v>0</v>
      </c>
      <c r="V24" s="47">
        <f>INDEX(Lab_Mat!$K$6:$N$9,MATCH($H24,Lab_Mat!$J$6:$J$9,0),MATCH($S$4,Lab_Mat!$K$5:$N$5,0))*M24*HLOOKUP(V$5,Escalators!$I$25:$U$30,3,FALSE)</f>
        <v>644.66401670486437</v>
      </c>
      <c r="W24" s="47">
        <f>INDEX(Lab_Mat!$K$6:$N$9,MATCH($H24,Lab_Mat!$J$6:$J$9,0),MATCH($S$4,Lab_Mat!$K$5:$N$5,0))*N24*HLOOKUP(W$5,Escalators!$I$25:$U$30,3,FALSE)</f>
        <v>301.03488531000386</v>
      </c>
      <c r="X24" s="47">
        <f>INDEX(Lab_Mat!$K$6:$N$9,MATCH($H24,Lab_Mat!$J$6:$J$9,0),MATCH($S$4,Lab_Mat!$K$5:$N$5,0))*O24*HLOOKUP(X$5,Escalators!$I$25:$U$30,3,FALSE)</f>
        <v>0</v>
      </c>
      <c r="Y24" s="47">
        <f>INDEX(Lab_Mat!$K$6:$N$9,MATCH($H24,Lab_Mat!$J$6:$J$9,0),MATCH($S$4,Lab_Mat!$K$5:$N$5,0))*P24*HLOOKUP(Y$5,Escalators!$I$25:$U$30,3,FALSE)</f>
        <v>0</v>
      </c>
      <c r="Z24" s="47">
        <f>INDEX(Lab_Mat!$K$6:$N$9,MATCH($H24,Lab_Mat!$J$6:$J$9,0),MATCH($S$4,Lab_Mat!$K$5:$N$5,0))*Q24*HLOOKUP(Z$5,Escalators!$I$25:$U$30,3,FALSE)</f>
        <v>0</v>
      </c>
      <c r="AB24" s="47">
        <f>INDEX(Lab_Mat!$K$6:$N$9,MATCH($H24,Lab_Mat!$J$6:$J$9,0),MATCH($AG$4,Lab_Mat!$K$5:$N$5,0))*$J24*INDEX(Act_Type_Repex_Splits,MATCH($I24,Act_Type_Repex,0),MATCH(AB$4,Mat_Type,0))*INDEX(Escalators!$I$44:$Q$49,MATCH(AB$4,Escalators!$C$44:$C$49,0),MATCH(AB$5,Escalators!$I$43:$Q$43,0))</f>
        <v>0</v>
      </c>
      <c r="AC24" s="47">
        <f>INDEX(Lab_Mat!$K$6:$N$9,MATCH($H24,Lab_Mat!$J$6:$J$9,0),MATCH($AG$4,Lab_Mat!$K$5:$N$5,0))*$J24*INDEX(Act_Type_Repex_Splits,MATCH($I24,Act_Type_Repex,0),MATCH(AC$4,Mat_Type,0))*INDEX(Escalators!$I$44:$Q$49,MATCH(AC$4,Escalators!$C$44:$C$49,0),MATCH(AC$5,Escalators!$I$43:$Q$43,0))</f>
        <v>0</v>
      </c>
      <c r="AD24" s="47">
        <f>INDEX(Lab_Mat!$K$6:$N$9,MATCH($H24,Lab_Mat!$J$6:$J$9,0),MATCH($AG$4,Lab_Mat!$K$5:$N$5,0))*$J24*INDEX(Act_Type_Repex_Splits,MATCH($I24,Act_Type_Repex,0),MATCH(AD$4,Mat_Type,0))*INDEX(Escalators!$I$44:$Q$49,MATCH(AD$4,Escalators!$C$44:$C$49,0),MATCH(AD$5,Escalators!$I$43:$Q$43,0))</f>
        <v>0</v>
      </c>
      <c r="AE24" s="47">
        <f>INDEX(Lab_Mat!$K$6:$N$9,MATCH($H24,Lab_Mat!$J$6:$J$9,0),MATCH($AG$4,Lab_Mat!$K$5:$N$5,0))*$J24*INDEX(Act_Type_Repex_Splits,MATCH($I24,Act_Type_Repex,0),MATCH(AE$4,Mat_Type,0))*INDEX(Escalators!$I$44:$Q$49,MATCH(AE$4,Escalators!$C$44:$C$49,0),MATCH(AE$5,Escalators!$I$43:$Q$43,0))</f>
        <v>0</v>
      </c>
      <c r="AF24" s="47">
        <f>INDEX(Lab_Mat!$K$6:$N$9,MATCH($H24,Lab_Mat!$J$6:$J$9,0),MATCH($AG$4,Lab_Mat!$K$5:$N$5,0))*$J24*INDEX(Act_Type_Repex_Splits,MATCH($I24,Act_Type_Repex,0),MATCH(AF$4,Mat_Type,0))*INDEX(Escalators!$I$44:$Q$49,MATCH(AF$4,Escalators!$C$44:$C$49,0),MATCH(AF$5,Escalators!$I$43:$Q$43,0))</f>
        <v>0</v>
      </c>
      <c r="AG24" s="47">
        <f t="shared" si="40"/>
        <v>0</v>
      </c>
      <c r="AH24" s="47">
        <f>INDEX(Lab_Mat!$K$6:$N$9,MATCH($H24,Lab_Mat!$J$6:$J$9,0),MATCH($AY$4,Lab_Mat!$K$5:$N$5,0))*$K24*INDEX(Act_Type_Repex_Splits,MATCH($I24,Act_Type_Repex,0),MATCH(AH$4,Mat_Type,0))*INDEX(Escalators!$I$44:$U$49,MATCH(AH$4,Escalators!$C$44:$C$49,0),MATCH(AH$5,Escalators!$I$43:$U$43,0))</f>
        <v>0</v>
      </c>
      <c r="AI24" s="47">
        <f>INDEX(Lab_Mat!$K$6:$N$9,MATCH($H24,Lab_Mat!$J$6:$J$9,0),MATCH($AY$4,Lab_Mat!$K$5:$N$5,0))*$K24*INDEX(Act_Type_Repex_Splits,MATCH($I24,Act_Type_Repex,0),MATCH(AI$4,Mat_Type,0))*INDEX(Escalators!$I$44:$U$49,MATCH(AI$4,Escalators!$C$44:$C$49,0),MATCH(AI$5,Escalators!$I$43:$U$43,0))</f>
        <v>0</v>
      </c>
      <c r="AJ24" s="47">
        <f>INDEX(Lab_Mat!$K$6:$N$9,MATCH($H24,Lab_Mat!$J$6:$J$9,0),MATCH($AY$4,Lab_Mat!$K$5:$N$5,0))*$K24*INDEX(Act_Type_Repex_Splits,MATCH($I24,Act_Type_Repex,0),MATCH(AJ$4,Mat_Type,0))*INDEX(Escalators!$I$44:$U$49,MATCH(AJ$4,Escalators!$C$44:$C$49,0),MATCH(AJ$5,Escalators!$I$43:$U$43,0))</f>
        <v>0</v>
      </c>
      <c r="AK24" s="47">
        <f>INDEX(Lab_Mat!$K$6:$N$9,MATCH($H24,Lab_Mat!$J$6:$J$9,0),MATCH($AY$4,Lab_Mat!$K$5:$N$5,0))*$K24*INDEX(Act_Type_Repex_Splits,MATCH($I24,Act_Type_Repex,0),MATCH(AK$4,Mat_Type,0))*INDEX(Escalators!$I$44:$U$49,MATCH(AK$4,Escalators!$C$44:$C$49,0),MATCH(AK$5,Escalators!$I$43:$U$43,0))</f>
        <v>0</v>
      </c>
      <c r="AL24" s="47">
        <f>INDEX(Lab_Mat!$K$6:$N$9,MATCH($H24,Lab_Mat!$J$6:$J$9,0),MATCH($AY$4,Lab_Mat!$K$5:$N$5,0))*$K24*INDEX(Act_Type_Repex_Splits,MATCH($I24,Act_Type_Repex,0),MATCH(AL$4,Mat_Type,0))*INDEX(Escalators!$I$44:$U$49,MATCH(AL$4,Escalators!$C$44:$C$49,0),MATCH(AL$5,Escalators!$I$43:$U$43,0))</f>
        <v>0</v>
      </c>
      <c r="AM24" s="47">
        <f t="shared" si="41"/>
        <v>0</v>
      </c>
      <c r="AN24" s="47">
        <f>INDEX(Lab_Mat!$K$6:$N$9,MATCH($H24,Lab_Mat!$J$6:$J$9,0),MATCH($AY$4,Lab_Mat!$K$5:$N$5,0))*$L24*INDEX(Act_Type_Repex_Splits,MATCH($I24,Act_Type_Repex,0),MATCH(AN$4,Mat_Type,0))*INDEX(Escalators!$I$44:$U$49,MATCH(AN$4,Escalators!$C$44:$C$49,0),MATCH(AN$5,Escalators!$I$43:$U$43,0))</f>
        <v>0</v>
      </c>
      <c r="AO24" s="47">
        <f>INDEX(Lab_Mat!$K$6:$N$9,MATCH($H24,Lab_Mat!$J$6:$J$9,0),MATCH($AY$4,Lab_Mat!$K$5:$N$5,0))*$L24*INDEX(Act_Type_Repex_Splits,MATCH($I24,Act_Type_Repex,0),MATCH(AO$4,Mat_Type,0))*INDEX(Escalators!$I$44:$U$49,MATCH(AO$4,Escalators!$C$44:$C$49,0),MATCH(AO$5,Escalators!$I$43:$U$43,0))</f>
        <v>0</v>
      </c>
      <c r="AP24" s="47">
        <f>INDEX(Lab_Mat!$K$6:$N$9,MATCH($H24,Lab_Mat!$J$6:$J$9,0),MATCH($AY$4,Lab_Mat!$K$5:$N$5,0))*$L24*INDEX(Act_Type_Repex_Splits,MATCH($I24,Act_Type_Repex,0),MATCH(AP$4,Mat_Type,0))*INDEX(Escalators!$I$44:$U$49,MATCH(AP$4,Escalators!$C$44:$C$49,0),MATCH(AP$5,Escalators!$I$43:$U$43,0))</f>
        <v>0</v>
      </c>
      <c r="AQ24" s="47">
        <f>INDEX(Lab_Mat!$K$6:$N$9,MATCH($H24,Lab_Mat!$J$6:$J$9,0),MATCH($AY$4,Lab_Mat!$K$5:$N$5,0))*$L24*INDEX(Act_Type_Repex_Splits,MATCH($I24,Act_Type_Repex,0),MATCH(AQ$4,Mat_Type,0))*INDEX(Escalators!$I$44:$U$49,MATCH(AQ$4,Escalators!$C$44:$C$49,0),MATCH(AQ$5,Escalators!$I$43:$U$43,0))</f>
        <v>0</v>
      </c>
      <c r="AR24" s="47">
        <f>INDEX(Lab_Mat!$K$6:$N$9,MATCH($H24,Lab_Mat!$J$6:$J$9,0),MATCH($AY$4,Lab_Mat!$K$5:$N$5,0))*$L24*INDEX(Act_Type_Repex_Splits,MATCH($I24,Act_Type_Repex,0),MATCH(AR$4,Mat_Type,0))*INDEX(Escalators!$I$44:$U$49,MATCH(AR$4,Escalators!$C$44:$C$49,0),MATCH(AR$5,Escalators!$I$43:$U$43,0))</f>
        <v>0</v>
      </c>
      <c r="AS24" s="47">
        <f t="shared" si="42"/>
        <v>0</v>
      </c>
      <c r="AT24" s="47">
        <f>INDEX(Lab_Mat!$K$6:$N$9,MATCH($H24,Lab_Mat!$J$6:$J$9,0),MATCH($AY$4,Lab_Mat!$K$5:$N$5,0))*$M24*INDEX(Act_Type_Repex_Splits,MATCH($I24,Act_Type_Repex,0),MATCH(AT$4,Mat_Type,0))*INDEX(Escalators!$I$44:$U$49,MATCH(AT$4,Escalators!$C$44:$C$49,0),MATCH(AT$5,Escalators!$I$43:$U$43,0))</f>
        <v>0</v>
      </c>
      <c r="AU24" s="47">
        <f>INDEX(Lab_Mat!$K$6:$N$9,MATCH($H24,Lab_Mat!$J$6:$J$9,0),MATCH($AY$4,Lab_Mat!$K$5:$N$5,0))*$M24*INDEX(Act_Type_Repex_Splits,MATCH($I24,Act_Type_Repex,0),MATCH(AU$4,Mat_Type,0))*INDEX(Escalators!$I$44:$U$49,MATCH(AU$4,Escalators!$C$44:$C$49,0),MATCH(AU$5,Escalators!$I$43:$U$43,0))</f>
        <v>390.56884294833765</v>
      </c>
      <c r="AV24" s="47">
        <f>INDEX(Lab_Mat!$K$6:$N$9,MATCH($H24,Lab_Mat!$J$6:$J$9,0),MATCH($AY$4,Lab_Mat!$K$5:$N$5,0))*$M24*INDEX(Act_Type_Repex_Splits,MATCH($I24,Act_Type_Repex,0),MATCH(AV$4,Mat_Type,0))*INDEX(Escalators!$I$44:$U$49,MATCH(AV$4,Escalators!$C$44:$C$49,0),MATCH(AV$5,Escalators!$I$43:$U$43,0))</f>
        <v>781.13768589667529</v>
      </c>
      <c r="AW24" s="47">
        <f>INDEX(Lab_Mat!$K$6:$N$9,MATCH($H24,Lab_Mat!$J$6:$J$9,0),MATCH($AY$4,Lab_Mat!$K$5:$N$5,0))*$M24*INDEX(Act_Type_Repex_Splits,MATCH($I24,Act_Type_Repex,0),MATCH(AW$4,Mat_Type,0))*INDEX(Escalators!$I$44:$U$49,MATCH(AW$4,Escalators!$C$44:$C$49,0),MATCH(AW$5,Escalators!$I$43:$U$43,0))</f>
        <v>130.18961431611257</v>
      </c>
      <c r="AX24" s="47">
        <f>INDEX(Lab_Mat!$K$6:$N$9,MATCH($H24,Lab_Mat!$J$6:$J$9,0),MATCH($AY$4,Lab_Mat!$K$5:$N$5,0))*$M24*INDEX(Act_Type_Repex_Splits,MATCH($I24,Act_Type_Repex,0),MATCH(AX$4,Mat_Type,0))*INDEX(Escalators!$I$44:$U$49,MATCH(AX$4,Escalators!$C$44:$C$49,0),MATCH(AX$5,Escalators!$I$43:$U$43,0))</f>
        <v>0</v>
      </c>
      <c r="AY24" s="47">
        <f t="shared" si="43"/>
        <v>1301.8961431611256</v>
      </c>
      <c r="AZ24" s="47">
        <f>INDEX(Lab_Mat!$K$6:$N$9,MATCH($H24,Lab_Mat!$J$6:$J$9,0),MATCH($BE$4,Lab_Mat!$K$5:$N$5,0))*$N24*INDEX(Act_Type_Repex_Splits,MATCH($I24,Act_Type_Repex,0),MATCH(AZ$4,Mat_Type,0))*INDEX(Escalators!$I$44:$U$49,MATCH(AZ$4,Escalators!$C$44:$C$49,0),MATCH(AZ$5,Escalators!$I$43:$U$43,0))</f>
        <v>0</v>
      </c>
      <c r="BA24" s="47">
        <f>INDEX(Lab_Mat!$K$6:$N$9,MATCH($H24,Lab_Mat!$J$6:$J$9,0),MATCH($BE$4,Lab_Mat!$K$5:$N$5,0))*$N24*INDEX(Act_Type_Repex_Splits,MATCH($I24,Act_Type_Repex,0),MATCH(BA$4,Mat_Type,0))*INDEX(Escalators!$I$44:$U$49,MATCH(BA$4,Escalators!$C$44:$C$49,0),MATCH(BA$5,Escalators!$I$43:$U$43,0))</f>
        <v>180.52932742089726</v>
      </c>
      <c r="BB24" s="47">
        <f>INDEX(Lab_Mat!$K$6:$N$9,MATCH($H24,Lab_Mat!$J$6:$J$9,0),MATCH($BE$4,Lab_Mat!$K$5:$N$5,0))*$N24*INDEX(Act_Type_Repex_Splits,MATCH($I24,Act_Type_Repex,0),MATCH(BB$4,Mat_Type,0))*INDEX(Escalators!$I$44:$U$49,MATCH(BB$4,Escalators!$C$44:$C$49,0),MATCH(BB$5,Escalators!$I$43:$U$43,0))</f>
        <v>361.05865484179452</v>
      </c>
      <c r="BC24" s="47">
        <f>INDEX(Lab_Mat!$K$6:$N$9,MATCH($H24,Lab_Mat!$J$6:$J$9,0),MATCH($BE$4,Lab_Mat!$K$5:$N$5,0))*$N24*INDEX(Act_Type_Repex_Splits,MATCH($I24,Act_Type_Repex,0),MATCH(BC$4,Mat_Type,0))*INDEX(Escalators!$I$44:$U$49,MATCH(BC$4,Escalators!$C$44:$C$49,0),MATCH(BC$5,Escalators!$I$43:$U$43,0))</f>
        <v>60.176442473632427</v>
      </c>
      <c r="BD24" s="47">
        <f>INDEX(Lab_Mat!$K$6:$N$9,MATCH($H24,Lab_Mat!$J$6:$J$9,0),MATCH($BE$4,Lab_Mat!$K$5:$N$5,0))*$N24*INDEX(Act_Type_Repex_Splits,MATCH($I24,Act_Type_Repex,0),MATCH(BD$4,Mat_Type,0))*INDEX(Escalators!$I$44:$U$49,MATCH(BD$4,Escalators!$C$44:$C$49,0),MATCH(BD$5,Escalators!$I$43:$U$43,0))</f>
        <v>0</v>
      </c>
      <c r="BE24" s="47">
        <f t="shared" si="44"/>
        <v>601.76442473632414</v>
      </c>
      <c r="BF24" s="47">
        <f>INDEX(Lab_Mat!$K$6:$N$9,MATCH($H24,Lab_Mat!$J$6:$J$9,0),MATCH($BK$4,Lab_Mat!$K$5:$N$5,0))*$O24*INDEX(Act_Type_Repex_Splits,MATCH($I24,Act_Type_Repex,0),MATCH(BF$4,Mat_Type,0))*INDEX(Escalators!$I$44:$U$49,MATCH(BF$4,Escalators!$C$44:$C$49,0),MATCH(BF$5,Escalators!$I$43:$U$43,0))</f>
        <v>0</v>
      </c>
      <c r="BG24" s="47">
        <f>INDEX(Lab_Mat!$K$6:$N$9,MATCH($H24,Lab_Mat!$J$6:$J$9,0),MATCH($BK$4,Lab_Mat!$K$5:$N$5,0))*$O24*INDEX(Act_Type_Repex_Splits,MATCH($I24,Act_Type_Repex,0),MATCH(BG$4,Mat_Type,0))*INDEX(Escalators!$I$44:$U$49,MATCH(BG$4,Escalators!$C$44:$C$49,0),MATCH(BG$5,Escalators!$I$43:$U$43,0))</f>
        <v>0</v>
      </c>
      <c r="BH24" s="47">
        <f>INDEX(Lab_Mat!$K$6:$N$9,MATCH($H24,Lab_Mat!$J$6:$J$9,0),MATCH($BK$4,Lab_Mat!$K$5:$N$5,0))*$O24*INDEX(Act_Type_Repex_Splits,MATCH($I24,Act_Type_Repex,0),MATCH(BH$4,Mat_Type,0))*INDEX(Escalators!$I$44:$U$49,MATCH(BH$4,Escalators!$C$44:$C$49,0),MATCH(BH$5,Escalators!$I$43:$U$43,0))</f>
        <v>0</v>
      </c>
      <c r="BI24" s="47">
        <f>INDEX(Lab_Mat!$K$6:$N$9,MATCH($H24,Lab_Mat!$J$6:$J$9,0),MATCH($BK$4,Lab_Mat!$K$5:$N$5,0))*$O24*INDEX(Act_Type_Repex_Splits,MATCH($I24,Act_Type_Repex,0),MATCH(BI$4,Mat_Type,0))*INDEX(Escalators!$I$44:$U$49,MATCH(BI$4,Escalators!$C$44:$C$49,0),MATCH(BI$5,Escalators!$I$43:$U$43,0))</f>
        <v>0</v>
      </c>
      <c r="BJ24" s="47">
        <f>INDEX(Lab_Mat!$K$6:$N$9,MATCH($H24,Lab_Mat!$J$6:$J$9,0),MATCH($BK$4,Lab_Mat!$K$5:$N$5,0))*$O24*INDEX(Act_Type_Repex_Splits,MATCH($I24,Act_Type_Repex,0),MATCH(BJ$4,Mat_Type,0))*INDEX(Escalators!$I$44:$U$49,MATCH(BJ$4,Escalators!$C$44:$C$49,0),MATCH(BJ$5,Escalators!$I$43:$U$43,0))</f>
        <v>0</v>
      </c>
      <c r="BK24" s="47">
        <f t="shared" si="45"/>
        <v>0</v>
      </c>
      <c r="BL24" s="47">
        <f>INDEX(Lab_Mat!$K$6:$N$9,MATCH($H24,Lab_Mat!$J$6:$J$9,0),MATCH($BQ$4,Lab_Mat!$K$5:$N$5,0))*$P24*INDEX(Act_Type_Repex_Splits,MATCH($I24,Act_Type_Repex,0),MATCH(BL$4,Mat_Type,0))*INDEX(Escalators!$I$44:$U$49,MATCH(BL$4,Escalators!$C$44:$C$49,0),MATCH(BL$5,Escalators!$I$43:$U$43,0))</f>
        <v>0</v>
      </c>
      <c r="BM24" s="47">
        <f>INDEX(Lab_Mat!$K$6:$N$9,MATCH($H24,Lab_Mat!$J$6:$J$9,0),MATCH($BQ$4,Lab_Mat!$K$5:$N$5,0))*$P24*INDEX(Act_Type_Repex_Splits,MATCH($I24,Act_Type_Repex,0),MATCH(BM$4,Mat_Type,0))*INDEX(Escalators!$I$44:$U$49,MATCH(BM$4,Escalators!$C$44:$C$49,0),MATCH(BM$5,Escalators!$I$43:$U$43,0))</f>
        <v>0</v>
      </c>
      <c r="BN24" s="47">
        <f>INDEX(Lab_Mat!$K$6:$N$9,MATCH($H24,Lab_Mat!$J$6:$J$9,0),MATCH($BQ$4,Lab_Mat!$K$5:$N$5,0))*$P24*INDEX(Act_Type_Repex_Splits,MATCH($I24,Act_Type_Repex,0),MATCH(BN$4,Mat_Type,0))*INDEX(Escalators!$I$44:$U$49,MATCH(BN$4,Escalators!$C$44:$C$49,0),MATCH(BN$5,Escalators!$I$43:$U$43,0))</f>
        <v>0</v>
      </c>
      <c r="BO24" s="47">
        <f>INDEX(Lab_Mat!$K$6:$N$9,MATCH($H24,Lab_Mat!$J$6:$J$9,0),MATCH($BQ$4,Lab_Mat!$K$5:$N$5,0))*$P24*INDEX(Act_Type_Repex_Splits,MATCH($I24,Act_Type_Repex,0),MATCH(BO$4,Mat_Type,0))*INDEX(Escalators!$I$44:$U$49,MATCH(BO$4,Escalators!$C$44:$C$49,0),MATCH(BO$5,Escalators!$I$43:$U$43,0))</f>
        <v>0</v>
      </c>
      <c r="BP24" s="47">
        <f>INDEX(Lab_Mat!$K$6:$N$9,MATCH($H24,Lab_Mat!$J$6:$J$9,0),MATCH($BQ$4,Lab_Mat!$K$5:$N$5,0))*$P24*INDEX(Act_Type_Repex_Splits,MATCH($I24,Act_Type_Repex,0),MATCH(BP$4,Mat_Type,0))*INDEX(Escalators!$I$44:$U$49,MATCH(BP$4,Escalators!$C$44:$C$49,0),MATCH(BP$5,Escalators!$I$43:$U$43,0))</f>
        <v>0</v>
      </c>
      <c r="BQ24" s="47">
        <f t="shared" si="46"/>
        <v>0</v>
      </c>
      <c r="BR24" s="47">
        <f>INDEX(Lab_Mat!$K$6:$N$9,MATCH($H24,Lab_Mat!$J$6:$J$9,0),MATCH($BW$4,Lab_Mat!$K$5:$N$5,0))*$Q24*INDEX(Act_Type_Repex_Splits,MATCH($I24,Act_Type_Repex,0),MATCH(BR$4,Mat_Type,0))*INDEX(Escalators!$I$44:$U$49,MATCH(BR$4,Escalators!$C$44:$C$49,0),MATCH(BR$5,Escalators!$I$43:$U$43,0))</f>
        <v>0</v>
      </c>
      <c r="BS24" s="47">
        <f>INDEX(Lab_Mat!$K$6:$N$9,MATCH($H24,Lab_Mat!$J$6:$J$9,0),MATCH($BW$4,Lab_Mat!$K$5:$N$5,0))*$Q24*INDEX(Act_Type_Repex_Splits,MATCH($I24,Act_Type_Repex,0),MATCH(BS$4,Mat_Type,0))*INDEX(Escalators!$I$44:$U$49,MATCH(BS$4,Escalators!$C$44:$C$49,0),MATCH(BS$5,Escalators!$I$43:$U$43,0))</f>
        <v>0</v>
      </c>
      <c r="BT24" s="47">
        <f>INDEX(Lab_Mat!$K$6:$N$9,MATCH($H24,Lab_Mat!$J$6:$J$9,0),MATCH($BW$4,Lab_Mat!$K$5:$N$5,0))*$Q24*INDEX(Act_Type_Repex_Splits,MATCH($I24,Act_Type_Repex,0),MATCH(BT$4,Mat_Type,0))*INDEX(Escalators!$I$44:$U$49,MATCH(BT$4,Escalators!$C$44:$C$49,0),MATCH(BT$5,Escalators!$I$43:$U$43,0))</f>
        <v>0</v>
      </c>
      <c r="BU24" s="47">
        <f>INDEX(Lab_Mat!$K$6:$N$9,MATCH($H24,Lab_Mat!$J$6:$J$9,0),MATCH($BW$4,Lab_Mat!$K$5:$N$5,0))*$Q24*INDEX(Act_Type_Repex_Splits,MATCH($I24,Act_Type_Repex,0),MATCH(BU$4,Mat_Type,0))*INDEX(Escalators!$I$44:$U$49,MATCH(BU$4,Escalators!$C$44:$C$49,0),MATCH(BU$5,Escalators!$I$43:$U$43,0))</f>
        <v>0</v>
      </c>
      <c r="BV24" s="47">
        <f>INDEX(Lab_Mat!$K$6:$N$9,MATCH($H24,Lab_Mat!$J$6:$J$9,0),MATCH($BW$4,Lab_Mat!$K$5:$N$5,0))*$Q24*INDEX(Act_Type_Repex_Splits,MATCH($I24,Act_Type_Repex,0),MATCH(BV$4,Mat_Type,0))*INDEX(Escalators!$I$44:$U$49,MATCH(BV$4,Escalators!$C$44:$C$49,0),MATCH(BV$5,Escalators!$I$43:$U$43,0))</f>
        <v>0</v>
      </c>
      <c r="BW24" s="47">
        <f t="shared" si="47"/>
        <v>0</v>
      </c>
      <c r="BY24" s="47">
        <f>INDEX(Lab_Mat!$K$6:$N$9,MATCH($H24,Lab_Mat!$J$6:$J$9,0),MATCH($BY$4,Lab_Mat!$K$5:$N$5,0))*J24*HLOOKUP(BY$5,Escalators!$I$25:$U$30,6,FALSE)</f>
        <v>0</v>
      </c>
      <c r="BZ24" s="47">
        <f>INDEX(Lab_Mat!$K$6:$N$9,MATCH($H24,Lab_Mat!$J$6:$J$9,0),MATCH($BY$4,Lab_Mat!$K$5:$N$5,0))*K24*HLOOKUP(BZ$5,Escalators!$I$25:$U$30,6,FALSE)</f>
        <v>0</v>
      </c>
      <c r="CA24" s="47">
        <f>INDEX(Lab_Mat!$K$6:$N$9,MATCH($H24,Lab_Mat!$J$6:$J$9,0),MATCH($BY$4,Lab_Mat!$K$5:$N$5,0))*L24*HLOOKUP(CA$5,Escalators!$I$25:$U$30,6,FALSE)</f>
        <v>0</v>
      </c>
      <c r="CB24" s="47">
        <f>INDEX(Lab_Mat!$K$6:$N$9,MATCH($H24,Lab_Mat!$J$6:$J$9,0),MATCH($BY$4,Lab_Mat!$K$5:$N$5,0))*M24*HLOOKUP(CB$5,Escalators!$I$25:$U$30,6,FALSE)</f>
        <v>1524.4741051517442</v>
      </c>
      <c r="CC24" s="47">
        <f>INDEX(Lab_Mat!$K$6:$N$9,MATCH($H24,Lab_Mat!$J$6:$J$9,0),MATCH($BY$4,Lab_Mat!$K$5:$N$5,0))*N24*HLOOKUP(CC$5,Escalators!$I$25:$U$30,6,FALSE)</f>
        <v>711.87451992147658</v>
      </c>
      <c r="CD24" s="47">
        <f>INDEX(Lab_Mat!$K$6:$N$9,MATCH($H24,Lab_Mat!$J$6:$J$9,0),MATCH($BY$4,Lab_Mat!$K$5:$N$5,0))*O24*HLOOKUP(CD$5,Escalators!$I$25:$U$30,6,FALSE)</f>
        <v>0</v>
      </c>
      <c r="CE24" s="47">
        <f>INDEX(Lab_Mat!$K$6:$N$9,MATCH($H24,Lab_Mat!$J$6:$J$9,0),MATCH($BY$4,Lab_Mat!$K$5:$N$5,0))*P24*HLOOKUP(CE$5,Escalators!$I$25:$U$30,6,FALSE)</f>
        <v>0</v>
      </c>
      <c r="CF24" s="47">
        <f>INDEX(Lab_Mat!$K$6:$N$9,MATCH($H24,Lab_Mat!$J$6:$J$9,0),MATCH($BY$4,Lab_Mat!$K$5:$N$5,0))*Q24*HLOOKUP(CF$5,Escalators!$I$25:$U$30,6,FALSE)</f>
        <v>0</v>
      </c>
      <c r="CH24" s="47">
        <f>INDEX(Lab_Mat!$K$6:$N$9,MATCH($H24,Lab_Mat!$J$6:$J$9,0),MATCH($CH$4,Lab_Mat!$K$5:$N$5,0))*J24</f>
        <v>0</v>
      </c>
      <c r="CI24" s="47">
        <f>INDEX(Lab_Mat!$K$6:$N$9,MATCH($H24,Lab_Mat!$J$6:$J$9,0),MATCH($CH$4,Lab_Mat!$K$5:$N$5,0))*K24</f>
        <v>0</v>
      </c>
      <c r="CJ24" s="47">
        <f>INDEX(Lab_Mat!$K$6:$N$9,MATCH($H24,Lab_Mat!$J$6:$J$9,0),MATCH($CH$4,Lab_Mat!$K$5:$N$5,0))*L24</f>
        <v>0</v>
      </c>
      <c r="CK24" s="47">
        <f>INDEX(Lab_Mat!$K$6:$N$9,MATCH($H24,Lab_Mat!$J$6:$J$9,0),MATCH($CH$4,Lab_Mat!$K$5:$N$5,0))*M24</f>
        <v>506.93195363975371</v>
      </c>
      <c r="CL24" s="47">
        <f>INDEX(Lab_Mat!$K$6:$N$9,MATCH($H24,Lab_Mat!$J$6:$J$9,0),MATCH($CH$4,Lab_Mat!$K$5:$N$5,0))*N24</f>
        <v>234.31486226066286</v>
      </c>
      <c r="CM24" s="47">
        <f>INDEX(Lab_Mat!$K$6:$N$9,MATCH($H24,Lab_Mat!$J$6:$J$9,0),MATCH($CH$4,Lab_Mat!$K$5:$N$5,0))*O24</f>
        <v>0</v>
      </c>
      <c r="CN24" s="47">
        <f>INDEX(Lab_Mat!$K$6:$N$9,MATCH($H24,Lab_Mat!$J$6:$J$9,0),MATCH($CH$4,Lab_Mat!$K$5:$N$5,0))*P24</f>
        <v>0</v>
      </c>
      <c r="CO24" s="47">
        <f>INDEX(Lab_Mat!$K$6:$N$9,MATCH($H24,Lab_Mat!$J$6:$J$9,0),MATCH($CH$4,Lab_Mat!$K$5:$N$5,0))*Q24</f>
        <v>0</v>
      </c>
      <c r="CQ24" s="47">
        <f t="shared" si="24"/>
        <v>0</v>
      </c>
      <c r="CR24" s="47">
        <f t="shared" si="25"/>
        <v>0</v>
      </c>
      <c r="CS24" s="47">
        <f t="shared" si="26"/>
        <v>0</v>
      </c>
      <c r="CT24" s="47">
        <f t="shared" si="27"/>
        <v>3977.9662186574883</v>
      </c>
      <c r="CU24" s="47">
        <f t="shared" si="28"/>
        <v>1848.9886922284675</v>
      </c>
      <c r="CV24" s="47">
        <f t="shared" si="29"/>
        <v>0</v>
      </c>
      <c r="CW24" s="47">
        <f t="shared" si="30"/>
        <v>0</v>
      </c>
      <c r="CX24" s="47">
        <f t="shared" si="31"/>
        <v>0</v>
      </c>
    </row>
    <row r="25" spans="2:109" x14ac:dyDescent="0.3">
      <c r="B25" s="7"/>
      <c r="C25" s="7" t="s">
        <v>413</v>
      </c>
      <c r="D25" s="7" t="s">
        <v>408</v>
      </c>
      <c r="E25" s="7" t="s">
        <v>45</v>
      </c>
      <c r="F25" s="7" t="s">
        <v>55</v>
      </c>
      <c r="G25" s="7" t="s">
        <v>150</v>
      </c>
      <c r="H25" s="7" t="s">
        <v>561</v>
      </c>
      <c r="I25" s="7" t="s">
        <v>203</v>
      </c>
      <c r="J25" s="45"/>
      <c r="K25" s="45"/>
      <c r="L25" s="45"/>
      <c r="M25" s="45">
        <v>7810.4361585347224</v>
      </c>
      <c r="N25" s="45">
        <v>3542.5495203499013</v>
      </c>
      <c r="O25" s="45">
        <v>0</v>
      </c>
      <c r="P25" s="45"/>
      <c r="Q25" s="45"/>
      <c r="S25" s="47">
        <f>INDEX(Lab_Mat!$K$6:$N$9,MATCH($H25,Lab_Mat!$J$6:$J$9,0),MATCH($S$4,Lab_Mat!$K$5:$N$5,0))*J25*HLOOKUP(S$5,Escalators!$I$25:$U$30,3,FALSE)</f>
        <v>0</v>
      </c>
      <c r="T25" s="47">
        <f>INDEX(Lab_Mat!$K$6:$N$9,MATCH($H25,Lab_Mat!$J$6:$J$9,0),MATCH($S$4,Lab_Mat!$K$5:$N$5,0))*K25*HLOOKUP(T$5,Escalators!$I$25:$U$30,3,FALSE)</f>
        <v>0</v>
      </c>
      <c r="U25" s="47">
        <f>INDEX(Lab_Mat!$K$6:$N$9,MATCH($H25,Lab_Mat!$J$6:$J$9,0),MATCH($S$4,Lab_Mat!$K$5:$N$5,0))*L25*HLOOKUP(U$5,Escalators!$I$25:$U$30,3,FALSE)</f>
        <v>0</v>
      </c>
      <c r="V25" s="47">
        <f>INDEX(Lab_Mat!$K$6:$N$9,MATCH($H25,Lab_Mat!$J$6:$J$9,0),MATCH($S$4,Lab_Mat!$K$5:$N$5,0))*M25*HLOOKUP(V$5,Escalators!$I$25:$U$30,3,FALSE)</f>
        <v>1409.6632208029746</v>
      </c>
      <c r="W25" s="47">
        <f>INDEX(Lab_Mat!$K$6:$N$9,MATCH($H25,Lab_Mat!$J$6:$J$9,0),MATCH($S$4,Lab_Mat!$K$5:$N$5,0))*N25*HLOOKUP(W$5,Escalators!$I$25:$U$30,3,FALSE)</f>
        <v>645.93562775336204</v>
      </c>
      <c r="X25" s="47">
        <f>INDEX(Lab_Mat!$K$6:$N$9,MATCH($H25,Lab_Mat!$J$6:$J$9,0),MATCH($S$4,Lab_Mat!$K$5:$N$5,0))*O25*HLOOKUP(X$5,Escalators!$I$25:$U$30,3,FALSE)</f>
        <v>0</v>
      </c>
      <c r="Y25" s="47">
        <f>INDEX(Lab_Mat!$K$6:$N$9,MATCH($H25,Lab_Mat!$J$6:$J$9,0),MATCH($S$4,Lab_Mat!$K$5:$N$5,0))*P25*HLOOKUP(Y$5,Escalators!$I$25:$U$30,3,FALSE)</f>
        <v>0</v>
      </c>
      <c r="Z25" s="47">
        <f>INDEX(Lab_Mat!$K$6:$N$9,MATCH($H25,Lab_Mat!$J$6:$J$9,0),MATCH($S$4,Lab_Mat!$K$5:$N$5,0))*Q25*HLOOKUP(Z$5,Escalators!$I$25:$U$30,3,FALSE)</f>
        <v>0</v>
      </c>
      <c r="AB25" s="47">
        <f>INDEX(Lab_Mat!$K$6:$N$9,MATCH($H25,Lab_Mat!$J$6:$J$9,0),MATCH($AG$4,Lab_Mat!$K$5:$N$5,0))*$J25*INDEX(Act_Type_Repex_Splits,MATCH($I25,Act_Type_Repex,0),MATCH(AB$4,Mat_Type,0))*INDEX(Escalators!$I$44:$Q$49,MATCH(AB$4,Escalators!$C$44:$C$49,0),MATCH(AB$5,Escalators!$I$43:$Q$43,0))</f>
        <v>0</v>
      </c>
      <c r="AC25" s="47">
        <f>INDEX(Lab_Mat!$K$6:$N$9,MATCH($H25,Lab_Mat!$J$6:$J$9,0),MATCH($AG$4,Lab_Mat!$K$5:$N$5,0))*$J25*INDEX(Act_Type_Repex_Splits,MATCH($I25,Act_Type_Repex,0),MATCH(AC$4,Mat_Type,0))*INDEX(Escalators!$I$44:$Q$49,MATCH(AC$4,Escalators!$C$44:$C$49,0),MATCH(AC$5,Escalators!$I$43:$Q$43,0))</f>
        <v>0</v>
      </c>
      <c r="AD25" s="47">
        <f>INDEX(Lab_Mat!$K$6:$N$9,MATCH($H25,Lab_Mat!$J$6:$J$9,0),MATCH($AG$4,Lab_Mat!$K$5:$N$5,0))*$J25*INDEX(Act_Type_Repex_Splits,MATCH($I25,Act_Type_Repex,0),MATCH(AD$4,Mat_Type,0))*INDEX(Escalators!$I$44:$Q$49,MATCH(AD$4,Escalators!$C$44:$C$49,0),MATCH(AD$5,Escalators!$I$43:$Q$43,0))</f>
        <v>0</v>
      </c>
      <c r="AE25" s="47">
        <f>INDEX(Lab_Mat!$K$6:$N$9,MATCH($H25,Lab_Mat!$J$6:$J$9,0),MATCH($AG$4,Lab_Mat!$K$5:$N$5,0))*$J25*INDEX(Act_Type_Repex_Splits,MATCH($I25,Act_Type_Repex,0),MATCH(AE$4,Mat_Type,0))*INDEX(Escalators!$I$44:$Q$49,MATCH(AE$4,Escalators!$C$44:$C$49,0),MATCH(AE$5,Escalators!$I$43:$Q$43,0))</f>
        <v>0</v>
      </c>
      <c r="AF25" s="47">
        <f>INDEX(Lab_Mat!$K$6:$N$9,MATCH($H25,Lab_Mat!$J$6:$J$9,0),MATCH($AG$4,Lab_Mat!$K$5:$N$5,0))*$J25*INDEX(Act_Type_Repex_Splits,MATCH($I25,Act_Type_Repex,0),MATCH(AF$4,Mat_Type,0))*INDEX(Escalators!$I$44:$Q$49,MATCH(AF$4,Escalators!$C$44:$C$49,0),MATCH(AF$5,Escalators!$I$43:$Q$43,0))</f>
        <v>0</v>
      </c>
      <c r="AG25" s="47">
        <f t="shared" si="40"/>
        <v>0</v>
      </c>
      <c r="AH25" s="47">
        <f>INDEX(Lab_Mat!$K$6:$N$9,MATCH($H25,Lab_Mat!$J$6:$J$9,0),MATCH($AY$4,Lab_Mat!$K$5:$N$5,0))*$K25*INDEX(Act_Type_Repex_Splits,MATCH($I25,Act_Type_Repex,0),MATCH(AH$4,Mat_Type,0))*INDEX(Escalators!$I$44:$U$49,MATCH(AH$4,Escalators!$C$44:$C$49,0),MATCH(AH$5,Escalators!$I$43:$U$43,0))</f>
        <v>0</v>
      </c>
      <c r="AI25" s="47">
        <f>INDEX(Lab_Mat!$K$6:$N$9,MATCH($H25,Lab_Mat!$J$6:$J$9,0),MATCH($AY$4,Lab_Mat!$K$5:$N$5,0))*$K25*INDEX(Act_Type_Repex_Splits,MATCH($I25,Act_Type_Repex,0),MATCH(AI$4,Mat_Type,0))*INDEX(Escalators!$I$44:$U$49,MATCH(AI$4,Escalators!$C$44:$C$49,0),MATCH(AI$5,Escalators!$I$43:$U$43,0))</f>
        <v>0</v>
      </c>
      <c r="AJ25" s="47">
        <f>INDEX(Lab_Mat!$K$6:$N$9,MATCH($H25,Lab_Mat!$J$6:$J$9,0),MATCH($AY$4,Lab_Mat!$K$5:$N$5,0))*$K25*INDEX(Act_Type_Repex_Splits,MATCH($I25,Act_Type_Repex,0),MATCH(AJ$4,Mat_Type,0))*INDEX(Escalators!$I$44:$U$49,MATCH(AJ$4,Escalators!$C$44:$C$49,0),MATCH(AJ$5,Escalators!$I$43:$U$43,0))</f>
        <v>0</v>
      </c>
      <c r="AK25" s="47">
        <f>INDEX(Lab_Mat!$K$6:$N$9,MATCH($H25,Lab_Mat!$J$6:$J$9,0),MATCH($AY$4,Lab_Mat!$K$5:$N$5,0))*$K25*INDEX(Act_Type_Repex_Splits,MATCH($I25,Act_Type_Repex,0),MATCH(AK$4,Mat_Type,0))*INDEX(Escalators!$I$44:$U$49,MATCH(AK$4,Escalators!$C$44:$C$49,0),MATCH(AK$5,Escalators!$I$43:$U$43,0))</f>
        <v>0</v>
      </c>
      <c r="AL25" s="47">
        <f>INDEX(Lab_Mat!$K$6:$N$9,MATCH($H25,Lab_Mat!$J$6:$J$9,0),MATCH($AY$4,Lab_Mat!$K$5:$N$5,0))*$K25*INDEX(Act_Type_Repex_Splits,MATCH($I25,Act_Type_Repex,0),MATCH(AL$4,Mat_Type,0))*INDEX(Escalators!$I$44:$U$49,MATCH(AL$4,Escalators!$C$44:$C$49,0),MATCH(AL$5,Escalators!$I$43:$U$43,0))</f>
        <v>0</v>
      </c>
      <c r="AM25" s="47">
        <f t="shared" si="41"/>
        <v>0</v>
      </c>
      <c r="AN25" s="47">
        <f>INDEX(Lab_Mat!$K$6:$N$9,MATCH($H25,Lab_Mat!$J$6:$J$9,0),MATCH($AY$4,Lab_Mat!$K$5:$N$5,0))*$L25*INDEX(Act_Type_Repex_Splits,MATCH($I25,Act_Type_Repex,0),MATCH(AN$4,Mat_Type,0))*INDEX(Escalators!$I$44:$U$49,MATCH(AN$4,Escalators!$C$44:$C$49,0),MATCH(AN$5,Escalators!$I$43:$U$43,0))</f>
        <v>0</v>
      </c>
      <c r="AO25" s="47">
        <f>INDEX(Lab_Mat!$K$6:$N$9,MATCH($H25,Lab_Mat!$J$6:$J$9,0),MATCH($AY$4,Lab_Mat!$K$5:$N$5,0))*$L25*INDEX(Act_Type_Repex_Splits,MATCH($I25,Act_Type_Repex,0),MATCH(AO$4,Mat_Type,0))*INDEX(Escalators!$I$44:$U$49,MATCH(AO$4,Escalators!$C$44:$C$49,0),MATCH(AO$5,Escalators!$I$43:$U$43,0))</f>
        <v>0</v>
      </c>
      <c r="AP25" s="47">
        <f>INDEX(Lab_Mat!$K$6:$N$9,MATCH($H25,Lab_Mat!$J$6:$J$9,0),MATCH($AY$4,Lab_Mat!$K$5:$N$5,0))*$L25*INDEX(Act_Type_Repex_Splits,MATCH($I25,Act_Type_Repex,0),MATCH(AP$4,Mat_Type,0))*INDEX(Escalators!$I$44:$U$49,MATCH(AP$4,Escalators!$C$44:$C$49,0),MATCH(AP$5,Escalators!$I$43:$U$43,0))</f>
        <v>0</v>
      </c>
      <c r="AQ25" s="47">
        <f>INDEX(Lab_Mat!$K$6:$N$9,MATCH($H25,Lab_Mat!$J$6:$J$9,0),MATCH($AY$4,Lab_Mat!$K$5:$N$5,0))*$L25*INDEX(Act_Type_Repex_Splits,MATCH($I25,Act_Type_Repex,0),MATCH(AQ$4,Mat_Type,0))*INDEX(Escalators!$I$44:$U$49,MATCH(AQ$4,Escalators!$C$44:$C$49,0),MATCH(AQ$5,Escalators!$I$43:$U$43,0))</f>
        <v>0</v>
      </c>
      <c r="AR25" s="47">
        <f>INDEX(Lab_Mat!$K$6:$N$9,MATCH($H25,Lab_Mat!$J$6:$J$9,0),MATCH($AY$4,Lab_Mat!$K$5:$N$5,0))*$L25*INDEX(Act_Type_Repex_Splits,MATCH($I25,Act_Type_Repex,0),MATCH(AR$4,Mat_Type,0))*INDEX(Escalators!$I$44:$U$49,MATCH(AR$4,Escalators!$C$44:$C$49,0),MATCH(AR$5,Escalators!$I$43:$U$43,0))</f>
        <v>0</v>
      </c>
      <c r="AS25" s="47">
        <f t="shared" si="42"/>
        <v>0</v>
      </c>
      <c r="AT25" s="47">
        <f>INDEX(Lab_Mat!$K$6:$N$9,MATCH($H25,Lab_Mat!$J$6:$J$9,0),MATCH($AY$4,Lab_Mat!$K$5:$N$5,0))*$M25*INDEX(Act_Type_Repex_Splits,MATCH($I25,Act_Type_Repex,0),MATCH(AT$4,Mat_Type,0))*INDEX(Escalators!$I$44:$U$49,MATCH(AT$4,Escalators!$C$44:$C$49,0),MATCH(AT$5,Escalators!$I$43:$U$43,0))</f>
        <v>0</v>
      </c>
      <c r="AU25" s="47">
        <f>INDEX(Lab_Mat!$K$6:$N$9,MATCH($H25,Lab_Mat!$J$6:$J$9,0),MATCH($AY$4,Lab_Mat!$K$5:$N$5,0))*$M25*INDEX(Act_Type_Repex_Splits,MATCH($I25,Act_Type_Repex,0),MATCH(AU$4,Mat_Type,0))*INDEX(Escalators!$I$44:$U$49,MATCH(AU$4,Escalators!$C$44:$C$49,0),MATCH(AU$5,Escalators!$I$43:$U$43,0))</f>
        <v>0</v>
      </c>
      <c r="AV25" s="47">
        <f>INDEX(Lab_Mat!$K$6:$N$9,MATCH($H25,Lab_Mat!$J$6:$J$9,0),MATCH($AY$4,Lab_Mat!$K$5:$N$5,0))*$M25*INDEX(Act_Type_Repex_Splits,MATCH($I25,Act_Type_Repex,0),MATCH(AV$4,Mat_Type,0))*INDEX(Escalators!$I$44:$U$49,MATCH(AV$4,Escalators!$C$44:$C$49,0),MATCH(AV$5,Escalators!$I$43:$U$43,0))</f>
        <v>509.28074440625443</v>
      </c>
      <c r="AW25" s="47">
        <f>INDEX(Lab_Mat!$K$6:$N$9,MATCH($H25,Lab_Mat!$J$6:$J$9,0),MATCH($AY$4,Lab_Mat!$K$5:$N$5,0))*$M25*INDEX(Act_Type_Repex_Splits,MATCH($I25,Act_Type_Repex,0),MATCH(AW$4,Mat_Type,0))*INDEX(Escalators!$I$44:$U$49,MATCH(AW$4,Escalators!$C$44:$C$49,0),MATCH(AW$5,Escalators!$I$43:$U$43,0))</f>
        <v>0</v>
      </c>
      <c r="AX25" s="47">
        <f>INDEX(Lab_Mat!$K$6:$N$9,MATCH($H25,Lab_Mat!$J$6:$J$9,0),MATCH($AY$4,Lab_Mat!$K$5:$N$5,0))*$M25*INDEX(Act_Type_Repex_Splits,MATCH($I25,Act_Type_Repex,0),MATCH(AX$4,Mat_Type,0))*INDEX(Escalators!$I$44:$U$49,MATCH(AX$4,Escalators!$C$44:$C$49,0),MATCH(AX$5,Escalators!$I$43:$U$43,0))</f>
        <v>509.28074440625443</v>
      </c>
      <c r="AY25" s="47">
        <f t="shared" si="43"/>
        <v>1018.5614888125089</v>
      </c>
      <c r="AZ25" s="47">
        <f>INDEX(Lab_Mat!$K$6:$N$9,MATCH($H25,Lab_Mat!$J$6:$J$9,0),MATCH($BE$4,Lab_Mat!$K$5:$N$5,0))*$N25*INDEX(Act_Type_Repex_Splits,MATCH($I25,Act_Type_Repex,0),MATCH(AZ$4,Mat_Type,0))*INDEX(Escalators!$I$44:$U$49,MATCH(AZ$4,Escalators!$C$44:$C$49,0),MATCH(AZ$5,Escalators!$I$43:$U$43,0))</f>
        <v>0</v>
      </c>
      <c r="BA25" s="47">
        <f>INDEX(Lab_Mat!$K$6:$N$9,MATCH($H25,Lab_Mat!$J$6:$J$9,0),MATCH($BE$4,Lab_Mat!$K$5:$N$5,0))*$N25*INDEX(Act_Type_Repex_Splits,MATCH($I25,Act_Type_Repex,0),MATCH(BA$4,Mat_Type,0))*INDEX(Escalators!$I$44:$U$49,MATCH(BA$4,Escalators!$C$44:$C$49,0),MATCH(BA$5,Escalators!$I$43:$U$43,0))</f>
        <v>0</v>
      </c>
      <c r="BB25" s="47">
        <f>INDEX(Lab_Mat!$K$6:$N$9,MATCH($H25,Lab_Mat!$J$6:$J$9,0),MATCH($BE$4,Lab_Mat!$K$5:$N$5,0))*$N25*INDEX(Act_Type_Repex_Splits,MATCH($I25,Act_Type_Repex,0),MATCH(BB$4,Mat_Type,0))*INDEX(Escalators!$I$44:$U$49,MATCH(BB$4,Escalators!$C$44:$C$49,0),MATCH(BB$5,Escalators!$I$43:$U$43,0))</f>
        <v>230.99251055888348</v>
      </c>
      <c r="BC25" s="47">
        <f>INDEX(Lab_Mat!$K$6:$N$9,MATCH($H25,Lab_Mat!$J$6:$J$9,0),MATCH($BE$4,Lab_Mat!$K$5:$N$5,0))*$N25*INDEX(Act_Type_Repex_Splits,MATCH($I25,Act_Type_Repex,0),MATCH(BC$4,Mat_Type,0))*INDEX(Escalators!$I$44:$U$49,MATCH(BC$4,Escalators!$C$44:$C$49,0),MATCH(BC$5,Escalators!$I$43:$U$43,0))</f>
        <v>0</v>
      </c>
      <c r="BD25" s="47">
        <f>INDEX(Lab_Mat!$K$6:$N$9,MATCH($H25,Lab_Mat!$J$6:$J$9,0),MATCH($BE$4,Lab_Mat!$K$5:$N$5,0))*$N25*INDEX(Act_Type_Repex_Splits,MATCH($I25,Act_Type_Repex,0),MATCH(BD$4,Mat_Type,0))*INDEX(Escalators!$I$44:$U$49,MATCH(BD$4,Escalators!$C$44:$C$49,0),MATCH(BD$5,Escalators!$I$43:$U$43,0))</f>
        <v>230.99251055888348</v>
      </c>
      <c r="BE25" s="47">
        <f t="shared" si="44"/>
        <v>461.98502111776696</v>
      </c>
      <c r="BF25" s="47">
        <f>INDEX(Lab_Mat!$K$6:$N$9,MATCH($H25,Lab_Mat!$J$6:$J$9,0),MATCH($BK$4,Lab_Mat!$K$5:$N$5,0))*$O25*INDEX(Act_Type_Repex_Splits,MATCH($I25,Act_Type_Repex,0),MATCH(BF$4,Mat_Type,0))*INDEX(Escalators!$I$44:$U$49,MATCH(BF$4,Escalators!$C$44:$C$49,0),MATCH(BF$5,Escalators!$I$43:$U$43,0))</f>
        <v>0</v>
      </c>
      <c r="BG25" s="47">
        <f>INDEX(Lab_Mat!$K$6:$N$9,MATCH($H25,Lab_Mat!$J$6:$J$9,0),MATCH($BK$4,Lab_Mat!$K$5:$N$5,0))*$O25*INDEX(Act_Type_Repex_Splits,MATCH($I25,Act_Type_Repex,0),MATCH(BG$4,Mat_Type,0))*INDEX(Escalators!$I$44:$U$49,MATCH(BG$4,Escalators!$C$44:$C$49,0),MATCH(BG$5,Escalators!$I$43:$U$43,0))</f>
        <v>0</v>
      </c>
      <c r="BH25" s="47">
        <f>INDEX(Lab_Mat!$K$6:$N$9,MATCH($H25,Lab_Mat!$J$6:$J$9,0),MATCH($BK$4,Lab_Mat!$K$5:$N$5,0))*$O25*INDEX(Act_Type_Repex_Splits,MATCH($I25,Act_Type_Repex,0),MATCH(BH$4,Mat_Type,0))*INDEX(Escalators!$I$44:$U$49,MATCH(BH$4,Escalators!$C$44:$C$49,0),MATCH(BH$5,Escalators!$I$43:$U$43,0))</f>
        <v>0</v>
      </c>
      <c r="BI25" s="47">
        <f>INDEX(Lab_Mat!$K$6:$N$9,MATCH($H25,Lab_Mat!$J$6:$J$9,0),MATCH($BK$4,Lab_Mat!$K$5:$N$5,0))*$O25*INDEX(Act_Type_Repex_Splits,MATCH($I25,Act_Type_Repex,0),MATCH(BI$4,Mat_Type,0))*INDEX(Escalators!$I$44:$U$49,MATCH(BI$4,Escalators!$C$44:$C$49,0),MATCH(BI$5,Escalators!$I$43:$U$43,0))</f>
        <v>0</v>
      </c>
      <c r="BJ25" s="47">
        <f>INDEX(Lab_Mat!$K$6:$N$9,MATCH($H25,Lab_Mat!$J$6:$J$9,0),MATCH($BK$4,Lab_Mat!$K$5:$N$5,0))*$O25*INDEX(Act_Type_Repex_Splits,MATCH($I25,Act_Type_Repex,0),MATCH(BJ$4,Mat_Type,0))*INDEX(Escalators!$I$44:$U$49,MATCH(BJ$4,Escalators!$C$44:$C$49,0),MATCH(BJ$5,Escalators!$I$43:$U$43,0))</f>
        <v>0</v>
      </c>
      <c r="BK25" s="47">
        <f t="shared" si="45"/>
        <v>0</v>
      </c>
      <c r="BL25" s="47">
        <f>INDEX(Lab_Mat!$K$6:$N$9,MATCH($H25,Lab_Mat!$J$6:$J$9,0),MATCH($BQ$4,Lab_Mat!$K$5:$N$5,0))*$P25*INDEX(Act_Type_Repex_Splits,MATCH($I25,Act_Type_Repex,0),MATCH(BL$4,Mat_Type,0))*INDEX(Escalators!$I$44:$U$49,MATCH(BL$4,Escalators!$C$44:$C$49,0),MATCH(BL$5,Escalators!$I$43:$U$43,0))</f>
        <v>0</v>
      </c>
      <c r="BM25" s="47">
        <f>INDEX(Lab_Mat!$K$6:$N$9,MATCH($H25,Lab_Mat!$J$6:$J$9,0),MATCH($BQ$4,Lab_Mat!$K$5:$N$5,0))*$P25*INDEX(Act_Type_Repex_Splits,MATCH($I25,Act_Type_Repex,0),MATCH(BM$4,Mat_Type,0))*INDEX(Escalators!$I$44:$U$49,MATCH(BM$4,Escalators!$C$44:$C$49,0),MATCH(BM$5,Escalators!$I$43:$U$43,0))</f>
        <v>0</v>
      </c>
      <c r="BN25" s="47">
        <f>INDEX(Lab_Mat!$K$6:$N$9,MATCH($H25,Lab_Mat!$J$6:$J$9,0),MATCH($BQ$4,Lab_Mat!$K$5:$N$5,0))*$P25*INDEX(Act_Type_Repex_Splits,MATCH($I25,Act_Type_Repex,0),MATCH(BN$4,Mat_Type,0))*INDEX(Escalators!$I$44:$U$49,MATCH(BN$4,Escalators!$C$44:$C$49,0),MATCH(BN$5,Escalators!$I$43:$U$43,0))</f>
        <v>0</v>
      </c>
      <c r="BO25" s="47">
        <f>INDEX(Lab_Mat!$K$6:$N$9,MATCH($H25,Lab_Mat!$J$6:$J$9,0),MATCH($BQ$4,Lab_Mat!$K$5:$N$5,0))*$P25*INDEX(Act_Type_Repex_Splits,MATCH($I25,Act_Type_Repex,0),MATCH(BO$4,Mat_Type,0))*INDEX(Escalators!$I$44:$U$49,MATCH(BO$4,Escalators!$C$44:$C$49,0),MATCH(BO$5,Escalators!$I$43:$U$43,0))</f>
        <v>0</v>
      </c>
      <c r="BP25" s="47">
        <f>INDEX(Lab_Mat!$K$6:$N$9,MATCH($H25,Lab_Mat!$J$6:$J$9,0),MATCH($BQ$4,Lab_Mat!$K$5:$N$5,0))*$P25*INDEX(Act_Type_Repex_Splits,MATCH($I25,Act_Type_Repex,0),MATCH(BP$4,Mat_Type,0))*INDEX(Escalators!$I$44:$U$49,MATCH(BP$4,Escalators!$C$44:$C$49,0),MATCH(BP$5,Escalators!$I$43:$U$43,0))</f>
        <v>0</v>
      </c>
      <c r="BQ25" s="47">
        <f t="shared" si="46"/>
        <v>0</v>
      </c>
      <c r="BR25" s="47">
        <f>INDEX(Lab_Mat!$K$6:$N$9,MATCH($H25,Lab_Mat!$J$6:$J$9,0),MATCH($BW$4,Lab_Mat!$K$5:$N$5,0))*$Q25*INDEX(Act_Type_Repex_Splits,MATCH($I25,Act_Type_Repex,0),MATCH(BR$4,Mat_Type,0))*INDEX(Escalators!$I$44:$U$49,MATCH(BR$4,Escalators!$C$44:$C$49,0),MATCH(BR$5,Escalators!$I$43:$U$43,0))</f>
        <v>0</v>
      </c>
      <c r="BS25" s="47">
        <f>INDEX(Lab_Mat!$K$6:$N$9,MATCH($H25,Lab_Mat!$J$6:$J$9,0),MATCH($BW$4,Lab_Mat!$K$5:$N$5,0))*$Q25*INDEX(Act_Type_Repex_Splits,MATCH($I25,Act_Type_Repex,0),MATCH(BS$4,Mat_Type,0))*INDEX(Escalators!$I$44:$U$49,MATCH(BS$4,Escalators!$C$44:$C$49,0),MATCH(BS$5,Escalators!$I$43:$U$43,0))</f>
        <v>0</v>
      </c>
      <c r="BT25" s="47">
        <f>INDEX(Lab_Mat!$K$6:$N$9,MATCH($H25,Lab_Mat!$J$6:$J$9,0),MATCH($BW$4,Lab_Mat!$K$5:$N$5,0))*$Q25*INDEX(Act_Type_Repex_Splits,MATCH($I25,Act_Type_Repex,0),MATCH(BT$4,Mat_Type,0))*INDEX(Escalators!$I$44:$U$49,MATCH(BT$4,Escalators!$C$44:$C$49,0),MATCH(BT$5,Escalators!$I$43:$U$43,0))</f>
        <v>0</v>
      </c>
      <c r="BU25" s="47">
        <f>INDEX(Lab_Mat!$K$6:$N$9,MATCH($H25,Lab_Mat!$J$6:$J$9,0),MATCH($BW$4,Lab_Mat!$K$5:$N$5,0))*$Q25*INDEX(Act_Type_Repex_Splits,MATCH($I25,Act_Type_Repex,0),MATCH(BU$4,Mat_Type,0))*INDEX(Escalators!$I$44:$U$49,MATCH(BU$4,Escalators!$C$44:$C$49,0),MATCH(BU$5,Escalators!$I$43:$U$43,0))</f>
        <v>0</v>
      </c>
      <c r="BV25" s="47">
        <f>INDEX(Lab_Mat!$K$6:$N$9,MATCH($H25,Lab_Mat!$J$6:$J$9,0),MATCH($BW$4,Lab_Mat!$K$5:$N$5,0))*$Q25*INDEX(Act_Type_Repex_Splits,MATCH($I25,Act_Type_Repex,0),MATCH(BV$4,Mat_Type,0))*INDEX(Escalators!$I$44:$U$49,MATCH(BV$4,Escalators!$C$44:$C$49,0),MATCH(BV$5,Escalators!$I$43:$U$43,0))</f>
        <v>0</v>
      </c>
      <c r="BW25" s="47">
        <f t="shared" si="47"/>
        <v>0</v>
      </c>
      <c r="BY25" s="47">
        <f>INDEX(Lab_Mat!$K$6:$N$9,MATCH($H25,Lab_Mat!$J$6:$J$9,0),MATCH($BY$4,Lab_Mat!$K$5:$N$5,0))*J25*HLOOKUP(BY$5,Escalators!$I$25:$U$30,6,FALSE)</f>
        <v>0</v>
      </c>
      <c r="BZ25" s="47">
        <f>INDEX(Lab_Mat!$K$6:$N$9,MATCH($H25,Lab_Mat!$J$6:$J$9,0),MATCH($BY$4,Lab_Mat!$K$5:$N$5,0))*K25*HLOOKUP(BZ$5,Escalators!$I$25:$U$30,6,FALSE)</f>
        <v>0</v>
      </c>
      <c r="CA25" s="47">
        <f>INDEX(Lab_Mat!$K$6:$N$9,MATCH($H25,Lab_Mat!$J$6:$J$9,0),MATCH($BY$4,Lab_Mat!$K$5:$N$5,0))*L25*HLOOKUP(CA$5,Escalators!$I$25:$U$30,6,FALSE)</f>
        <v>0</v>
      </c>
      <c r="CB25" s="47">
        <f>INDEX(Lab_Mat!$K$6:$N$9,MATCH($H25,Lab_Mat!$J$6:$J$9,0),MATCH($BY$4,Lab_Mat!$K$5:$N$5,0))*M25*HLOOKUP(CB$5,Escalators!$I$25:$U$30,6,FALSE)</f>
        <v>4193.3402300794542</v>
      </c>
      <c r="CC25" s="47">
        <f>INDEX(Lab_Mat!$K$6:$N$9,MATCH($H25,Lab_Mat!$J$6:$J$9,0),MATCH($BY$4,Lab_Mat!$K$5:$N$5,0))*N25*HLOOKUP(CC$5,Escalators!$I$25:$U$30,6,FALSE)</f>
        <v>1921.4716067834324</v>
      </c>
      <c r="CD25" s="47">
        <f>INDEX(Lab_Mat!$K$6:$N$9,MATCH($H25,Lab_Mat!$J$6:$J$9,0),MATCH($BY$4,Lab_Mat!$K$5:$N$5,0))*O25*HLOOKUP(CD$5,Escalators!$I$25:$U$30,6,FALSE)</f>
        <v>0</v>
      </c>
      <c r="CE25" s="47">
        <f>INDEX(Lab_Mat!$K$6:$N$9,MATCH($H25,Lab_Mat!$J$6:$J$9,0),MATCH($BY$4,Lab_Mat!$K$5:$N$5,0))*P25*HLOOKUP(CE$5,Escalators!$I$25:$U$30,6,FALSE)</f>
        <v>0</v>
      </c>
      <c r="CF25" s="47">
        <f>INDEX(Lab_Mat!$K$6:$N$9,MATCH($H25,Lab_Mat!$J$6:$J$9,0),MATCH($BY$4,Lab_Mat!$K$5:$N$5,0))*Q25*HLOOKUP(CF$5,Escalators!$I$25:$U$30,6,FALSE)</f>
        <v>0</v>
      </c>
      <c r="CH25" s="47">
        <f>INDEX(Lab_Mat!$K$6:$N$9,MATCH($H25,Lab_Mat!$J$6:$J$9,0),MATCH($CH$4,Lab_Mat!$K$5:$N$5,0))*J25</f>
        <v>0</v>
      </c>
      <c r="CI25" s="47">
        <f>INDEX(Lab_Mat!$K$6:$N$9,MATCH($H25,Lab_Mat!$J$6:$J$9,0),MATCH($CH$4,Lab_Mat!$K$5:$N$5,0))*K25</f>
        <v>0</v>
      </c>
      <c r="CJ25" s="47">
        <f>INDEX(Lab_Mat!$K$6:$N$9,MATCH($H25,Lab_Mat!$J$6:$J$9,0),MATCH($CH$4,Lab_Mat!$K$5:$N$5,0))*L25</f>
        <v>0</v>
      </c>
      <c r="CK25" s="47">
        <f>INDEX(Lab_Mat!$K$6:$N$9,MATCH($H25,Lab_Mat!$J$6:$J$9,0),MATCH($CH$4,Lab_Mat!$K$5:$N$5,0))*M25</f>
        <v>1367.9440326370589</v>
      </c>
      <c r="CL25" s="47">
        <f>INDEX(Lab_Mat!$K$6:$N$9,MATCH($H25,Lab_Mat!$J$6:$J$9,0),MATCH($CH$4,Lab_Mat!$K$5:$N$5,0))*N25</f>
        <v>620.45311917549282</v>
      </c>
      <c r="CM25" s="47">
        <f>INDEX(Lab_Mat!$K$6:$N$9,MATCH($H25,Lab_Mat!$J$6:$J$9,0),MATCH($CH$4,Lab_Mat!$K$5:$N$5,0))*O25</f>
        <v>0</v>
      </c>
      <c r="CN25" s="47">
        <f>INDEX(Lab_Mat!$K$6:$N$9,MATCH($H25,Lab_Mat!$J$6:$J$9,0),MATCH($CH$4,Lab_Mat!$K$5:$N$5,0))*P25</f>
        <v>0</v>
      </c>
      <c r="CO25" s="47">
        <f>INDEX(Lab_Mat!$K$6:$N$9,MATCH($H25,Lab_Mat!$J$6:$J$9,0),MATCH($CH$4,Lab_Mat!$K$5:$N$5,0))*Q25</f>
        <v>0</v>
      </c>
      <c r="CQ25" s="47">
        <f t="shared" si="24"/>
        <v>0</v>
      </c>
      <c r="CR25" s="47">
        <f t="shared" si="25"/>
        <v>0</v>
      </c>
      <c r="CS25" s="47">
        <f t="shared" si="26"/>
        <v>0</v>
      </c>
      <c r="CT25" s="47">
        <f t="shared" si="27"/>
        <v>7989.5089723319961</v>
      </c>
      <c r="CU25" s="47">
        <f t="shared" si="28"/>
        <v>3649.845374830054</v>
      </c>
      <c r="CV25" s="47">
        <f t="shared" si="29"/>
        <v>0</v>
      </c>
      <c r="CW25" s="47">
        <f t="shared" si="30"/>
        <v>0</v>
      </c>
      <c r="CX25" s="47">
        <f t="shared" si="31"/>
        <v>0</v>
      </c>
    </row>
    <row r="26" spans="2:109" x14ac:dyDescent="0.3">
      <c r="B26" s="7"/>
      <c r="C26" s="7" t="s">
        <v>414</v>
      </c>
      <c r="D26" s="7" t="s">
        <v>408</v>
      </c>
      <c r="E26" s="7" t="s">
        <v>48</v>
      </c>
      <c r="F26" s="7" t="s">
        <v>55</v>
      </c>
      <c r="G26" s="7" t="s">
        <v>10</v>
      </c>
      <c r="H26" s="7" t="s">
        <v>750</v>
      </c>
      <c r="I26" s="7" t="s">
        <v>204</v>
      </c>
      <c r="J26" s="45"/>
      <c r="K26" s="45"/>
      <c r="L26" s="45"/>
      <c r="M26" s="45">
        <v>3258.9821817034426</v>
      </c>
      <c r="N26" s="45">
        <v>647.81893302055425</v>
      </c>
      <c r="O26" s="45">
        <v>0</v>
      </c>
      <c r="P26" s="45"/>
      <c r="Q26" s="45"/>
      <c r="S26" s="47">
        <f>INDEX(Lab_Mat!$K$6:$N$9,MATCH($H26,Lab_Mat!$J$6:$J$9,0),MATCH($S$4,Lab_Mat!$K$5:$N$5,0))*J26*HLOOKUP(S$5,Escalators!$I$25:$U$30,3,FALSE)</f>
        <v>0</v>
      </c>
      <c r="T26" s="47">
        <f>INDEX(Lab_Mat!$K$6:$N$9,MATCH($H26,Lab_Mat!$J$6:$J$9,0),MATCH($S$4,Lab_Mat!$K$5:$N$5,0))*K26*HLOOKUP(T$5,Escalators!$I$25:$U$30,3,FALSE)</f>
        <v>0</v>
      </c>
      <c r="U26" s="47">
        <f>INDEX(Lab_Mat!$K$6:$N$9,MATCH($H26,Lab_Mat!$J$6:$J$9,0),MATCH($S$4,Lab_Mat!$K$5:$N$5,0))*L26*HLOOKUP(U$5,Escalators!$I$25:$U$30,3,FALSE)</f>
        <v>0</v>
      </c>
      <c r="V26" s="47">
        <f>INDEX(Lab_Mat!$K$6:$N$9,MATCH($H26,Lab_Mat!$J$6:$J$9,0),MATCH($S$4,Lab_Mat!$K$5:$N$5,0))*M26*HLOOKUP(V$5,Escalators!$I$25:$U$30,3,FALSE)</f>
        <v>619.12549474187188</v>
      </c>
      <c r="W26" s="47">
        <f>INDEX(Lab_Mat!$K$6:$N$9,MATCH($H26,Lab_Mat!$J$6:$J$9,0),MATCH($S$4,Lab_Mat!$K$5:$N$5,0))*N26*HLOOKUP(W$5,Escalators!$I$25:$U$30,3,FALSE)</f>
        <v>124.33218507642019</v>
      </c>
      <c r="X26" s="47">
        <f>INDEX(Lab_Mat!$K$6:$N$9,MATCH($H26,Lab_Mat!$J$6:$J$9,0),MATCH($S$4,Lab_Mat!$K$5:$N$5,0))*O26*HLOOKUP(X$5,Escalators!$I$25:$U$30,3,FALSE)</f>
        <v>0</v>
      </c>
      <c r="Y26" s="47">
        <f>INDEX(Lab_Mat!$K$6:$N$9,MATCH($H26,Lab_Mat!$J$6:$J$9,0),MATCH($S$4,Lab_Mat!$K$5:$N$5,0))*P26*HLOOKUP(Y$5,Escalators!$I$25:$U$30,3,FALSE)</f>
        <v>0</v>
      </c>
      <c r="Z26" s="47">
        <f>INDEX(Lab_Mat!$K$6:$N$9,MATCH($H26,Lab_Mat!$J$6:$J$9,0),MATCH($S$4,Lab_Mat!$K$5:$N$5,0))*Q26*HLOOKUP(Z$5,Escalators!$I$25:$U$30,3,FALSE)</f>
        <v>0</v>
      </c>
      <c r="AB26" s="47">
        <f>INDEX(Lab_Mat!$K$6:$N$9,MATCH($H26,Lab_Mat!$J$6:$J$9,0),MATCH($AG$4,Lab_Mat!$K$5:$N$5,0))*$J26*INDEX(Act_Type_Repex_Splits,MATCH($I26,Act_Type_Repex,0),MATCH(AB$4,Mat_Type,0))*INDEX(Escalators!$I$44:$Q$49,MATCH(AB$4,Escalators!$C$44:$C$49,0),MATCH(AB$5,Escalators!$I$43:$Q$43,0))</f>
        <v>0</v>
      </c>
      <c r="AC26" s="47">
        <f>INDEX(Lab_Mat!$K$6:$N$9,MATCH($H26,Lab_Mat!$J$6:$J$9,0),MATCH($AG$4,Lab_Mat!$K$5:$N$5,0))*$J26*INDEX(Act_Type_Repex_Splits,MATCH($I26,Act_Type_Repex,0),MATCH(AC$4,Mat_Type,0))*INDEX(Escalators!$I$44:$Q$49,MATCH(AC$4,Escalators!$C$44:$C$49,0),MATCH(AC$5,Escalators!$I$43:$Q$43,0))</f>
        <v>0</v>
      </c>
      <c r="AD26" s="47">
        <f>INDEX(Lab_Mat!$K$6:$N$9,MATCH($H26,Lab_Mat!$J$6:$J$9,0),MATCH($AG$4,Lab_Mat!$K$5:$N$5,0))*$J26*INDEX(Act_Type_Repex_Splits,MATCH($I26,Act_Type_Repex,0),MATCH(AD$4,Mat_Type,0))*INDEX(Escalators!$I$44:$Q$49,MATCH(AD$4,Escalators!$C$44:$C$49,0),MATCH(AD$5,Escalators!$I$43:$Q$43,0))</f>
        <v>0</v>
      </c>
      <c r="AE26" s="47">
        <f>INDEX(Lab_Mat!$K$6:$N$9,MATCH($H26,Lab_Mat!$J$6:$J$9,0),MATCH($AG$4,Lab_Mat!$K$5:$N$5,0))*$J26*INDEX(Act_Type_Repex_Splits,MATCH($I26,Act_Type_Repex,0),MATCH(AE$4,Mat_Type,0))*INDEX(Escalators!$I$44:$Q$49,MATCH(AE$4,Escalators!$C$44:$C$49,0),MATCH(AE$5,Escalators!$I$43:$Q$43,0))</f>
        <v>0</v>
      </c>
      <c r="AF26" s="47">
        <f>INDEX(Lab_Mat!$K$6:$N$9,MATCH($H26,Lab_Mat!$J$6:$J$9,0),MATCH($AG$4,Lab_Mat!$K$5:$N$5,0))*$J26*INDEX(Act_Type_Repex_Splits,MATCH($I26,Act_Type_Repex,0),MATCH(AF$4,Mat_Type,0))*INDEX(Escalators!$I$44:$Q$49,MATCH(AF$4,Escalators!$C$44:$C$49,0),MATCH(AF$5,Escalators!$I$43:$Q$43,0))</f>
        <v>0</v>
      </c>
      <c r="AG26" s="47">
        <f t="shared" si="40"/>
        <v>0</v>
      </c>
      <c r="AH26" s="47">
        <f>INDEX(Lab_Mat!$K$6:$N$9,MATCH($H26,Lab_Mat!$J$6:$J$9,0),MATCH($AY$4,Lab_Mat!$K$5:$N$5,0))*$K26*INDEX(Act_Type_Repex_Splits,MATCH($I26,Act_Type_Repex,0),MATCH(AH$4,Mat_Type,0))*INDEX(Escalators!$I$44:$U$49,MATCH(AH$4,Escalators!$C$44:$C$49,0),MATCH(AH$5,Escalators!$I$43:$U$43,0))</f>
        <v>0</v>
      </c>
      <c r="AI26" s="47">
        <f>INDEX(Lab_Mat!$K$6:$N$9,MATCH($H26,Lab_Mat!$J$6:$J$9,0),MATCH($AY$4,Lab_Mat!$K$5:$N$5,0))*$K26*INDEX(Act_Type_Repex_Splits,MATCH($I26,Act_Type_Repex,0),MATCH(AI$4,Mat_Type,0))*INDEX(Escalators!$I$44:$U$49,MATCH(AI$4,Escalators!$C$44:$C$49,0),MATCH(AI$5,Escalators!$I$43:$U$43,0))</f>
        <v>0</v>
      </c>
      <c r="AJ26" s="47">
        <f>INDEX(Lab_Mat!$K$6:$N$9,MATCH($H26,Lab_Mat!$J$6:$J$9,0),MATCH($AY$4,Lab_Mat!$K$5:$N$5,0))*$K26*INDEX(Act_Type_Repex_Splits,MATCH($I26,Act_Type_Repex,0),MATCH(AJ$4,Mat_Type,0))*INDEX(Escalators!$I$44:$U$49,MATCH(AJ$4,Escalators!$C$44:$C$49,0),MATCH(AJ$5,Escalators!$I$43:$U$43,0))</f>
        <v>0</v>
      </c>
      <c r="AK26" s="47">
        <f>INDEX(Lab_Mat!$K$6:$N$9,MATCH($H26,Lab_Mat!$J$6:$J$9,0),MATCH($AY$4,Lab_Mat!$K$5:$N$5,0))*$K26*INDEX(Act_Type_Repex_Splits,MATCH($I26,Act_Type_Repex,0),MATCH(AK$4,Mat_Type,0))*INDEX(Escalators!$I$44:$U$49,MATCH(AK$4,Escalators!$C$44:$C$49,0),MATCH(AK$5,Escalators!$I$43:$U$43,0))</f>
        <v>0</v>
      </c>
      <c r="AL26" s="47">
        <f>INDEX(Lab_Mat!$K$6:$N$9,MATCH($H26,Lab_Mat!$J$6:$J$9,0),MATCH($AY$4,Lab_Mat!$K$5:$N$5,0))*$K26*INDEX(Act_Type_Repex_Splits,MATCH($I26,Act_Type_Repex,0),MATCH(AL$4,Mat_Type,0))*INDEX(Escalators!$I$44:$U$49,MATCH(AL$4,Escalators!$C$44:$C$49,0),MATCH(AL$5,Escalators!$I$43:$U$43,0))</f>
        <v>0</v>
      </c>
      <c r="AM26" s="47">
        <f t="shared" si="41"/>
        <v>0</v>
      </c>
      <c r="AN26" s="47">
        <f>INDEX(Lab_Mat!$K$6:$N$9,MATCH($H26,Lab_Mat!$J$6:$J$9,0),MATCH($AY$4,Lab_Mat!$K$5:$N$5,0))*$L26*INDEX(Act_Type_Repex_Splits,MATCH($I26,Act_Type_Repex,0),MATCH(AN$4,Mat_Type,0))*INDEX(Escalators!$I$44:$U$49,MATCH(AN$4,Escalators!$C$44:$C$49,0),MATCH(AN$5,Escalators!$I$43:$U$43,0))</f>
        <v>0</v>
      </c>
      <c r="AO26" s="47">
        <f>INDEX(Lab_Mat!$K$6:$N$9,MATCH($H26,Lab_Mat!$J$6:$J$9,0),MATCH($AY$4,Lab_Mat!$K$5:$N$5,0))*$L26*INDEX(Act_Type_Repex_Splits,MATCH($I26,Act_Type_Repex,0),MATCH(AO$4,Mat_Type,0))*INDEX(Escalators!$I$44:$U$49,MATCH(AO$4,Escalators!$C$44:$C$49,0),MATCH(AO$5,Escalators!$I$43:$U$43,0))</f>
        <v>0</v>
      </c>
      <c r="AP26" s="47">
        <f>INDEX(Lab_Mat!$K$6:$N$9,MATCH($H26,Lab_Mat!$J$6:$J$9,0),MATCH($AY$4,Lab_Mat!$K$5:$N$5,0))*$L26*INDEX(Act_Type_Repex_Splits,MATCH($I26,Act_Type_Repex,0),MATCH(AP$4,Mat_Type,0))*INDEX(Escalators!$I$44:$U$49,MATCH(AP$4,Escalators!$C$44:$C$49,0),MATCH(AP$5,Escalators!$I$43:$U$43,0))</f>
        <v>0</v>
      </c>
      <c r="AQ26" s="47">
        <f>INDEX(Lab_Mat!$K$6:$N$9,MATCH($H26,Lab_Mat!$J$6:$J$9,0),MATCH($AY$4,Lab_Mat!$K$5:$N$5,0))*$L26*INDEX(Act_Type_Repex_Splits,MATCH($I26,Act_Type_Repex,0),MATCH(AQ$4,Mat_Type,0))*INDEX(Escalators!$I$44:$U$49,MATCH(AQ$4,Escalators!$C$44:$C$49,0),MATCH(AQ$5,Escalators!$I$43:$U$43,0))</f>
        <v>0</v>
      </c>
      <c r="AR26" s="47">
        <f>INDEX(Lab_Mat!$K$6:$N$9,MATCH($H26,Lab_Mat!$J$6:$J$9,0),MATCH($AY$4,Lab_Mat!$K$5:$N$5,0))*$L26*INDEX(Act_Type_Repex_Splits,MATCH($I26,Act_Type_Repex,0),MATCH(AR$4,Mat_Type,0))*INDEX(Escalators!$I$44:$U$49,MATCH(AR$4,Escalators!$C$44:$C$49,0),MATCH(AR$5,Escalators!$I$43:$U$43,0))</f>
        <v>0</v>
      </c>
      <c r="AS26" s="47">
        <f t="shared" si="42"/>
        <v>0</v>
      </c>
      <c r="AT26" s="47">
        <f>INDEX(Lab_Mat!$K$6:$N$9,MATCH($H26,Lab_Mat!$J$6:$J$9,0),MATCH($AY$4,Lab_Mat!$K$5:$N$5,0))*$M26*INDEX(Act_Type_Repex_Splits,MATCH($I26,Act_Type_Repex,0),MATCH(AT$4,Mat_Type,0))*INDEX(Escalators!$I$44:$U$49,MATCH(AT$4,Escalators!$C$44:$C$49,0),MATCH(AT$5,Escalators!$I$43:$U$43,0))</f>
        <v>0</v>
      </c>
      <c r="AU26" s="47">
        <f>INDEX(Lab_Mat!$K$6:$N$9,MATCH($H26,Lab_Mat!$J$6:$J$9,0),MATCH($AY$4,Lab_Mat!$K$5:$N$5,0))*$M26*INDEX(Act_Type_Repex_Splits,MATCH($I26,Act_Type_Repex,0),MATCH(AU$4,Mat_Type,0))*INDEX(Escalators!$I$44:$U$49,MATCH(AU$4,Escalators!$C$44:$C$49,0),MATCH(AU$5,Escalators!$I$43:$U$43,0))</f>
        <v>0</v>
      </c>
      <c r="AV26" s="47">
        <f>INDEX(Lab_Mat!$K$6:$N$9,MATCH($H26,Lab_Mat!$J$6:$J$9,0),MATCH($AY$4,Lab_Mat!$K$5:$N$5,0))*$M26*INDEX(Act_Type_Repex_Splits,MATCH($I26,Act_Type_Repex,0),MATCH(AV$4,Mat_Type,0))*INDEX(Escalators!$I$44:$U$49,MATCH(AV$4,Escalators!$C$44:$C$49,0),MATCH(AV$5,Escalators!$I$43:$U$43,0))</f>
        <v>352.86236126327776</v>
      </c>
      <c r="AW26" s="47">
        <f>INDEX(Lab_Mat!$K$6:$N$9,MATCH($H26,Lab_Mat!$J$6:$J$9,0),MATCH($AY$4,Lab_Mat!$K$5:$N$5,0))*$M26*INDEX(Act_Type_Repex_Splits,MATCH($I26,Act_Type_Repex,0),MATCH(AW$4,Mat_Type,0))*INDEX(Escalators!$I$44:$U$49,MATCH(AW$4,Escalators!$C$44:$C$49,0),MATCH(AW$5,Escalators!$I$43:$U$43,0))</f>
        <v>0</v>
      </c>
      <c r="AX26" s="47">
        <f>INDEX(Lab_Mat!$K$6:$N$9,MATCH($H26,Lab_Mat!$J$6:$J$9,0),MATCH($AY$4,Lab_Mat!$K$5:$N$5,0))*$M26*INDEX(Act_Type_Repex_Splits,MATCH($I26,Act_Type_Repex,0),MATCH(AX$4,Mat_Type,0))*INDEX(Escalators!$I$44:$U$49,MATCH(AX$4,Escalators!$C$44:$C$49,0),MATCH(AX$5,Escalators!$I$43:$U$43,0))</f>
        <v>1411.449445053111</v>
      </c>
      <c r="AY26" s="47">
        <f t="shared" si="43"/>
        <v>1764.3118063163888</v>
      </c>
      <c r="AZ26" s="47">
        <f>INDEX(Lab_Mat!$K$6:$N$9,MATCH($H26,Lab_Mat!$J$6:$J$9,0),MATCH($BE$4,Lab_Mat!$K$5:$N$5,0))*$N26*INDEX(Act_Type_Repex_Splits,MATCH($I26,Act_Type_Repex,0),MATCH(AZ$4,Mat_Type,0))*INDEX(Escalators!$I$44:$U$49,MATCH(AZ$4,Escalators!$C$44:$C$49,0),MATCH(AZ$5,Escalators!$I$43:$U$43,0))</f>
        <v>0</v>
      </c>
      <c r="BA26" s="47">
        <f>INDEX(Lab_Mat!$K$6:$N$9,MATCH($H26,Lab_Mat!$J$6:$J$9,0),MATCH($BE$4,Lab_Mat!$K$5:$N$5,0))*$N26*INDEX(Act_Type_Repex_Splits,MATCH($I26,Act_Type_Repex,0),MATCH(BA$4,Mat_Type,0))*INDEX(Escalators!$I$44:$U$49,MATCH(BA$4,Escalators!$C$44:$C$49,0),MATCH(BA$5,Escalators!$I$43:$U$43,0))</f>
        <v>0</v>
      </c>
      <c r="BB26" s="47">
        <f>INDEX(Lab_Mat!$K$6:$N$9,MATCH($H26,Lab_Mat!$J$6:$J$9,0),MATCH($BE$4,Lab_Mat!$K$5:$N$5,0))*$N26*INDEX(Act_Type_Repex_Splits,MATCH($I26,Act_Type_Repex,0),MATCH(BB$4,Mat_Type,0))*INDEX(Escalators!$I$44:$U$49,MATCH(BB$4,Escalators!$C$44:$C$49,0),MATCH(BB$5,Escalators!$I$43:$U$43,0))</f>
        <v>70.141812882575323</v>
      </c>
      <c r="BC26" s="47">
        <f>INDEX(Lab_Mat!$K$6:$N$9,MATCH($H26,Lab_Mat!$J$6:$J$9,0),MATCH($BE$4,Lab_Mat!$K$5:$N$5,0))*$N26*INDEX(Act_Type_Repex_Splits,MATCH($I26,Act_Type_Repex,0),MATCH(BC$4,Mat_Type,0))*INDEX(Escalators!$I$44:$U$49,MATCH(BC$4,Escalators!$C$44:$C$49,0),MATCH(BC$5,Escalators!$I$43:$U$43,0))</f>
        <v>0</v>
      </c>
      <c r="BD26" s="47">
        <f>INDEX(Lab_Mat!$K$6:$N$9,MATCH($H26,Lab_Mat!$J$6:$J$9,0),MATCH($BE$4,Lab_Mat!$K$5:$N$5,0))*$N26*INDEX(Act_Type_Repex_Splits,MATCH($I26,Act_Type_Repex,0),MATCH(BD$4,Mat_Type,0))*INDEX(Escalators!$I$44:$U$49,MATCH(BD$4,Escalators!$C$44:$C$49,0),MATCH(BD$5,Escalators!$I$43:$U$43,0))</f>
        <v>280.56725153030129</v>
      </c>
      <c r="BE26" s="47">
        <f t="shared" si="44"/>
        <v>350.70906441287661</v>
      </c>
      <c r="BF26" s="47">
        <f>INDEX(Lab_Mat!$K$6:$N$9,MATCH($H26,Lab_Mat!$J$6:$J$9,0),MATCH($BK$4,Lab_Mat!$K$5:$N$5,0))*$O26*INDEX(Act_Type_Repex_Splits,MATCH($I26,Act_Type_Repex,0),MATCH(BF$4,Mat_Type,0))*INDEX(Escalators!$I$44:$U$49,MATCH(BF$4,Escalators!$C$44:$C$49,0),MATCH(BF$5,Escalators!$I$43:$U$43,0))</f>
        <v>0</v>
      </c>
      <c r="BG26" s="47">
        <f>INDEX(Lab_Mat!$K$6:$N$9,MATCH($H26,Lab_Mat!$J$6:$J$9,0),MATCH($BK$4,Lab_Mat!$K$5:$N$5,0))*$O26*INDEX(Act_Type_Repex_Splits,MATCH($I26,Act_Type_Repex,0),MATCH(BG$4,Mat_Type,0))*INDEX(Escalators!$I$44:$U$49,MATCH(BG$4,Escalators!$C$44:$C$49,0),MATCH(BG$5,Escalators!$I$43:$U$43,0))</f>
        <v>0</v>
      </c>
      <c r="BH26" s="47">
        <f>INDEX(Lab_Mat!$K$6:$N$9,MATCH($H26,Lab_Mat!$J$6:$J$9,0),MATCH($BK$4,Lab_Mat!$K$5:$N$5,0))*$O26*INDEX(Act_Type_Repex_Splits,MATCH($I26,Act_Type_Repex,0),MATCH(BH$4,Mat_Type,0))*INDEX(Escalators!$I$44:$U$49,MATCH(BH$4,Escalators!$C$44:$C$49,0),MATCH(BH$5,Escalators!$I$43:$U$43,0))</f>
        <v>0</v>
      </c>
      <c r="BI26" s="47">
        <f>INDEX(Lab_Mat!$K$6:$N$9,MATCH($H26,Lab_Mat!$J$6:$J$9,0),MATCH($BK$4,Lab_Mat!$K$5:$N$5,0))*$O26*INDEX(Act_Type_Repex_Splits,MATCH($I26,Act_Type_Repex,0),MATCH(BI$4,Mat_Type,0))*INDEX(Escalators!$I$44:$U$49,MATCH(BI$4,Escalators!$C$44:$C$49,0),MATCH(BI$5,Escalators!$I$43:$U$43,0))</f>
        <v>0</v>
      </c>
      <c r="BJ26" s="47">
        <f>INDEX(Lab_Mat!$K$6:$N$9,MATCH($H26,Lab_Mat!$J$6:$J$9,0),MATCH($BK$4,Lab_Mat!$K$5:$N$5,0))*$O26*INDEX(Act_Type_Repex_Splits,MATCH($I26,Act_Type_Repex,0),MATCH(BJ$4,Mat_Type,0))*INDEX(Escalators!$I$44:$U$49,MATCH(BJ$4,Escalators!$C$44:$C$49,0),MATCH(BJ$5,Escalators!$I$43:$U$43,0))</f>
        <v>0</v>
      </c>
      <c r="BK26" s="47">
        <f t="shared" si="45"/>
        <v>0</v>
      </c>
      <c r="BL26" s="47">
        <f>INDEX(Lab_Mat!$K$6:$N$9,MATCH($H26,Lab_Mat!$J$6:$J$9,0),MATCH($BQ$4,Lab_Mat!$K$5:$N$5,0))*$P26*INDEX(Act_Type_Repex_Splits,MATCH($I26,Act_Type_Repex,0),MATCH(BL$4,Mat_Type,0))*INDEX(Escalators!$I$44:$U$49,MATCH(BL$4,Escalators!$C$44:$C$49,0),MATCH(BL$5,Escalators!$I$43:$U$43,0))</f>
        <v>0</v>
      </c>
      <c r="BM26" s="47">
        <f>INDEX(Lab_Mat!$K$6:$N$9,MATCH($H26,Lab_Mat!$J$6:$J$9,0),MATCH($BQ$4,Lab_Mat!$K$5:$N$5,0))*$P26*INDEX(Act_Type_Repex_Splits,MATCH($I26,Act_Type_Repex,0),MATCH(BM$4,Mat_Type,0))*INDEX(Escalators!$I$44:$U$49,MATCH(BM$4,Escalators!$C$44:$C$49,0),MATCH(BM$5,Escalators!$I$43:$U$43,0))</f>
        <v>0</v>
      </c>
      <c r="BN26" s="47">
        <f>INDEX(Lab_Mat!$K$6:$N$9,MATCH($H26,Lab_Mat!$J$6:$J$9,0),MATCH($BQ$4,Lab_Mat!$K$5:$N$5,0))*$P26*INDEX(Act_Type_Repex_Splits,MATCH($I26,Act_Type_Repex,0),MATCH(BN$4,Mat_Type,0))*INDEX(Escalators!$I$44:$U$49,MATCH(BN$4,Escalators!$C$44:$C$49,0),MATCH(BN$5,Escalators!$I$43:$U$43,0))</f>
        <v>0</v>
      </c>
      <c r="BO26" s="47">
        <f>INDEX(Lab_Mat!$K$6:$N$9,MATCH($H26,Lab_Mat!$J$6:$J$9,0),MATCH($BQ$4,Lab_Mat!$K$5:$N$5,0))*$P26*INDEX(Act_Type_Repex_Splits,MATCH($I26,Act_Type_Repex,0),MATCH(BO$4,Mat_Type,0))*INDEX(Escalators!$I$44:$U$49,MATCH(BO$4,Escalators!$C$44:$C$49,0),MATCH(BO$5,Escalators!$I$43:$U$43,0))</f>
        <v>0</v>
      </c>
      <c r="BP26" s="47">
        <f>INDEX(Lab_Mat!$K$6:$N$9,MATCH($H26,Lab_Mat!$J$6:$J$9,0),MATCH($BQ$4,Lab_Mat!$K$5:$N$5,0))*$P26*INDEX(Act_Type_Repex_Splits,MATCH($I26,Act_Type_Repex,0),MATCH(BP$4,Mat_Type,0))*INDEX(Escalators!$I$44:$U$49,MATCH(BP$4,Escalators!$C$44:$C$49,0),MATCH(BP$5,Escalators!$I$43:$U$43,0))</f>
        <v>0</v>
      </c>
      <c r="BQ26" s="47">
        <f t="shared" si="46"/>
        <v>0</v>
      </c>
      <c r="BR26" s="47">
        <f>INDEX(Lab_Mat!$K$6:$N$9,MATCH($H26,Lab_Mat!$J$6:$J$9,0),MATCH($BW$4,Lab_Mat!$K$5:$N$5,0))*$Q26*INDEX(Act_Type_Repex_Splits,MATCH($I26,Act_Type_Repex,0),MATCH(BR$4,Mat_Type,0))*INDEX(Escalators!$I$44:$U$49,MATCH(BR$4,Escalators!$C$44:$C$49,0),MATCH(BR$5,Escalators!$I$43:$U$43,0))</f>
        <v>0</v>
      </c>
      <c r="BS26" s="47">
        <f>INDEX(Lab_Mat!$K$6:$N$9,MATCH($H26,Lab_Mat!$J$6:$J$9,0),MATCH($BW$4,Lab_Mat!$K$5:$N$5,0))*$Q26*INDEX(Act_Type_Repex_Splits,MATCH($I26,Act_Type_Repex,0),MATCH(BS$4,Mat_Type,0))*INDEX(Escalators!$I$44:$U$49,MATCH(BS$4,Escalators!$C$44:$C$49,0),MATCH(BS$5,Escalators!$I$43:$U$43,0))</f>
        <v>0</v>
      </c>
      <c r="BT26" s="47">
        <f>INDEX(Lab_Mat!$K$6:$N$9,MATCH($H26,Lab_Mat!$J$6:$J$9,0),MATCH($BW$4,Lab_Mat!$K$5:$N$5,0))*$Q26*INDEX(Act_Type_Repex_Splits,MATCH($I26,Act_Type_Repex,0),MATCH(BT$4,Mat_Type,0))*INDEX(Escalators!$I$44:$U$49,MATCH(BT$4,Escalators!$C$44:$C$49,0),MATCH(BT$5,Escalators!$I$43:$U$43,0))</f>
        <v>0</v>
      </c>
      <c r="BU26" s="47">
        <f>INDEX(Lab_Mat!$K$6:$N$9,MATCH($H26,Lab_Mat!$J$6:$J$9,0),MATCH($BW$4,Lab_Mat!$K$5:$N$5,0))*$Q26*INDEX(Act_Type_Repex_Splits,MATCH($I26,Act_Type_Repex,0),MATCH(BU$4,Mat_Type,0))*INDEX(Escalators!$I$44:$U$49,MATCH(BU$4,Escalators!$C$44:$C$49,0),MATCH(BU$5,Escalators!$I$43:$U$43,0))</f>
        <v>0</v>
      </c>
      <c r="BV26" s="47">
        <f>INDEX(Lab_Mat!$K$6:$N$9,MATCH($H26,Lab_Mat!$J$6:$J$9,0),MATCH($BW$4,Lab_Mat!$K$5:$N$5,0))*$Q26*INDEX(Act_Type_Repex_Splits,MATCH($I26,Act_Type_Repex,0),MATCH(BV$4,Mat_Type,0))*INDEX(Escalators!$I$44:$U$49,MATCH(BV$4,Escalators!$C$44:$C$49,0),MATCH(BV$5,Escalators!$I$43:$U$43,0))</f>
        <v>0</v>
      </c>
      <c r="BW26" s="47">
        <f t="shared" si="47"/>
        <v>0</v>
      </c>
      <c r="BY26" s="47">
        <f>INDEX(Lab_Mat!$K$6:$N$9,MATCH($H26,Lab_Mat!$J$6:$J$9,0),MATCH($BY$4,Lab_Mat!$K$5:$N$5,0))*J26*HLOOKUP(BY$5,Escalators!$I$25:$U$30,6,FALSE)</f>
        <v>0</v>
      </c>
      <c r="BZ26" s="47">
        <f>INDEX(Lab_Mat!$K$6:$N$9,MATCH($H26,Lab_Mat!$J$6:$J$9,0),MATCH($BY$4,Lab_Mat!$K$5:$N$5,0))*K26*HLOOKUP(BZ$5,Escalators!$I$25:$U$30,6,FALSE)</f>
        <v>0</v>
      </c>
      <c r="CA26" s="47">
        <f>INDEX(Lab_Mat!$K$6:$N$9,MATCH($H26,Lab_Mat!$J$6:$J$9,0),MATCH($BY$4,Lab_Mat!$K$5:$N$5,0))*L26*HLOOKUP(CA$5,Escalators!$I$25:$U$30,6,FALSE)</f>
        <v>0</v>
      </c>
      <c r="CB26" s="47">
        <f>INDEX(Lab_Mat!$K$6:$N$9,MATCH($H26,Lab_Mat!$J$6:$J$9,0),MATCH($BY$4,Lab_Mat!$K$5:$N$5,0))*M26*HLOOKUP(CB$5,Escalators!$I$25:$U$30,6,FALSE)</f>
        <v>661.70795621486343</v>
      </c>
      <c r="CC26" s="47">
        <f>INDEX(Lab_Mat!$K$6:$N$9,MATCH($H26,Lab_Mat!$J$6:$J$9,0),MATCH($BY$4,Lab_Mat!$K$5:$N$5,0))*N26*HLOOKUP(CC$5,Escalators!$I$25:$U$30,6,FALSE)</f>
        <v>132.88355394401441</v>
      </c>
      <c r="CD26" s="47">
        <f>INDEX(Lab_Mat!$K$6:$N$9,MATCH($H26,Lab_Mat!$J$6:$J$9,0),MATCH($BY$4,Lab_Mat!$K$5:$N$5,0))*O26*HLOOKUP(CD$5,Escalators!$I$25:$U$30,6,FALSE)</f>
        <v>0</v>
      </c>
      <c r="CE26" s="47">
        <f>INDEX(Lab_Mat!$K$6:$N$9,MATCH($H26,Lab_Mat!$J$6:$J$9,0),MATCH($BY$4,Lab_Mat!$K$5:$N$5,0))*P26*HLOOKUP(CE$5,Escalators!$I$25:$U$30,6,FALSE)</f>
        <v>0</v>
      </c>
      <c r="CF26" s="47">
        <f>INDEX(Lab_Mat!$K$6:$N$9,MATCH($H26,Lab_Mat!$J$6:$J$9,0),MATCH($BY$4,Lab_Mat!$K$5:$N$5,0))*Q26*HLOOKUP(CF$5,Escalators!$I$25:$U$30,6,FALSE)</f>
        <v>0</v>
      </c>
      <c r="CH26" s="47">
        <f>INDEX(Lab_Mat!$K$6:$N$9,MATCH($H26,Lab_Mat!$J$6:$J$9,0),MATCH($CH$4,Lab_Mat!$K$5:$N$5,0))*J26</f>
        <v>0</v>
      </c>
      <c r="CI26" s="47">
        <f>INDEX(Lab_Mat!$K$6:$N$9,MATCH($H26,Lab_Mat!$J$6:$J$9,0),MATCH($CH$4,Lab_Mat!$K$5:$N$5,0))*K26</f>
        <v>0</v>
      </c>
      <c r="CJ26" s="47">
        <f>INDEX(Lab_Mat!$K$6:$N$9,MATCH($H26,Lab_Mat!$J$6:$J$9,0),MATCH($CH$4,Lab_Mat!$K$5:$N$5,0))*L26</f>
        <v>0</v>
      </c>
      <c r="CK26" s="47">
        <f>INDEX(Lab_Mat!$K$6:$N$9,MATCH($H26,Lab_Mat!$J$6:$J$9,0),MATCH($CH$4,Lab_Mat!$K$5:$N$5,0))*M26</f>
        <v>254.77254977468155</v>
      </c>
      <c r="CL26" s="47">
        <f>INDEX(Lab_Mat!$K$6:$N$9,MATCH($H26,Lab_Mat!$J$6:$J$9,0),MATCH($CH$4,Lab_Mat!$K$5:$N$5,0))*N26</f>
        <v>50.643566658499445</v>
      </c>
      <c r="CM26" s="47">
        <f>INDEX(Lab_Mat!$K$6:$N$9,MATCH($H26,Lab_Mat!$J$6:$J$9,0),MATCH($CH$4,Lab_Mat!$K$5:$N$5,0))*O26</f>
        <v>0</v>
      </c>
      <c r="CN26" s="47">
        <f>INDEX(Lab_Mat!$K$6:$N$9,MATCH($H26,Lab_Mat!$J$6:$J$9,0),MATCH($CH$4,Lab_Mat!$K$5:$N$5,0))*P26</f>
        <v>0</v>
      </c>
      <c r="CO26" s="47">
        <f>INDEX(Lab_Mat!$K$6:$N$9,MATCH($H26,Lab_Mat!$J$6:$J$9,0),MATCH($CH$4,Lab_Mat!$K$5:$N$5,0))*Q26</f>
        <v>0</v>
      </c>
      <c r="CQ26" s="47">
        <f t="shared" si="24"/>
        <v>0</v>
      </c>
      <c r="CR26" s="47">
        <f t="shared" si="25"/>
        <v>0</v>
      </c>
      <c r="CS26" s="47">
        <f t="shared" si="26"/>
        <v>0</v>
      </c>
      <c r="CT26" s="47">
        <f t="shared" si="27"/>
        <v>3299.9178070478056</v>
      </c>
      <c r="CU26" s="47">
        <f t="shared" si="28"/>
        <v>658.56837009181061</v>
      </c>
      <c r="CV26" s="47">
        <f t="shared" si="29"/>
        <v>0</v>
      </c>
      <c r="CW26" s="47">
        <f t="shared" si="30"/>
        <v>0</v>
      </c>
      <c r="CX26" s="47">
        <f t="shared" si="31"/>
        <v>0</v>
      </c>
    </row>
    <row r="27" spans="2:109" x14ac:dyDescent="0.3">
      <c r="B27" s="7"/>
      <c r="C27" s="7" t="s">
        <v>415</v>
      </c>
      <c r="D27" s="7" t="s">
        <v>408</v>
      </c>
      <c r="E27" s="7" t="s">
        <v>48</v>
      </c>
      <c r="F27" s="7" t="s">
        <v>55</v>
      </c>
      <c r="G27" s="7" t="s">
        <v>150</v>
      </c>
      <c r="H27" s="7" t="s">
        <v>750</v>
      </c>
      <c r="I27" s="7" t="s">
        <v>204</v>
      </c>
      <c r="J27" s="45"/>
      <c r="K27" s="45"/>
      <c r="L27" s="45"/>
      <c r="M27" s="45">
        <v>60.819014331099325</v>
      </c>
      <c r="N27" s="45">
        <v>23.984963398180017</v>
      </c>
      <c r="O27" s="45">
        <v>0</v>
      </c>
      <c r="P27" s="45"/>
      <c r="Q27" s="45"/>
      <c r="S27" s="47">
        <f>INDEX(Lab_Mat!$K$6:$N$9,MATCH($H27,Lab_Mat!$J$6:$J$9,0),MATCH($S$4,Lab_Mat!$K$5:$N$5,0))*J27*HLOOKUP(S$5,Escalators!$I$25:$U$30,3,FALSE)</f>
        <v>0</v>
      </c>
      <c r="T27" s="47">
        <f>INDEX(Lab_Mat!$K$6:$N$9,MATCH($H27,Lab_Mat!$J$6:$J$9,0),MATCH($S$4,Lab_Mat!$K$5:$N$5,0))*K27*HLOOKUP(T$5,Escalators!$I$25:$U$30,3,FALSE)</f>
        <v>0</v>
      </c>
      <c r="U27" s="47">
        <f>INDEX(Lab_Mat!$K$6:$N$9,MATCH($H27,Lab_Mat!$J$6:$J$9,0),MATCH($S$4,Lab_Mat!$K$5:$N$5,0))*L27*HLOOKUP(U$5,Escalators!$I$25:$U$30,3,FALSE)</f>
        <v>0</v>
      </c>
      <c r="V27" s="47">
        <f>INDEX(Lab_Mat!$K$6:$N$9,MATCH($H27,Lab_Mat!$J$6:$J$9,0),MATCH($S$4,Lab_Mat!$K$5:$N$5,0))*M27*HLOOKUP(V$5,Escalators!$I$25:$U$30,3,FALSE)</f>
        <v>11.554098868307749</v>
      </c>
      <c r="W27" s="47">
        <f>INDEX(Lab_Mat!$K$6:$N$9,MATCH($H27,Lab_Mat!$J$6:$J$9,0),MATCH($S$4,Lab_Mat!$K$5:$N$5,0))*N27*HLOOKUP(W$5,Escalators!$I$25:$U$30,3,FALSE)</f>
        <v>4.603296934174451</v>
      </c>
      <c r="X27" s="47">
        <f>INDEX(Lab_Mat!$K$6:$N$9,MATCH($H27,Lab_Mat!$J$6:$J$9,0),MATCH($S$4,Lab_Mat!$K$5:$N$5,0))*O27*HLOOKUP(X$5,Escalators!$I$25:$U$30,3,FALSE)</f>
        <v>0</v>
      </c>
      <c r="Y27" s="47">
        <f>INDEX(Lab_Mat!$K$6:$N$9,MATCH($H27,Lab_Mat!$J$6:$J$9,0),MATCH($S$4,Lab_Mat!$K$5:$N$5,0))*P27*HLOOKUP(Y$5,Escalators!$I$25:$U$30,3,FALSE)</f>
        <v>0</v>
      </c>
      <c r="Z27" s="47">
        <f>INDEX(Lab_Mat!$K$6:$N$9,MATCH($H27,Lab_Mat!$J$6:$J$9,0),MATCH($S$4,Lab_Mat!$K$5:$N$5,0))*Q27*HLOOKUP(Z$5,Escalators!$I$25:$U$30,3,FALSE)</f>
        <v>0</v>
      </c>
      <c r="AB27" s="47">
        <f>INDEX(Lab_Mat!$K$6:$N$9,MATCH($H27,Lab_Mat!$J$6:$J$9,0),MATCH($AG$4,Lab_Mat!$K$5:$N$5,0))*$J27*INDEX(Act_Type_Repex_Splits,MATCH($I27,Act_Type_Repex,0),MATCH(AB$4,Mat_Type,0))*INDEX(Escalators!$I$44:$Q$49,MATCH(AB$4,Escalators!$C$44:$C$49,0),MATCH(AB$5,Escalators!$I$43:$Q$43,0))</f>
        <v>0</v>
      </c>
      <c r="AC27" s="47">
        <f>INDEX(Lab_Mat!$K$6:$N$9,MATCH($H27,Lab_Mat!$J$6:$J$9,0),MATCH($AG$4,Lab_Mat!$K$5:$N$5,0))*$J27*INDEX(Act_Type_Repex_Splits,MATCH($I27,Act_Type_Repex,0),MATCH(AC$4,Mat_Type,0))*INDEX(Escalators!$I$44:$Q$49,MATCH(AC$4,Escalators!$C$44:$C$49,0),MATCH(AC$5,Escalators!$I$43:$Q$43,0))</f>
        <v>0</v>
      </c>
      <c r="AD27" s="47">
        <f>INDEX(Lab_Mat!$K$6:$N$9,MATCH($H27,Lab_Mat!$J$6:$J$9,0),MATCH($AG$4,Lab_Mat!$K$5:$N$5,0))*$J27*INDEX(Act_Type_Repex_Splits,MATCH($I27,Act_Type_Repex,0),MATCH(AD$4,Mat_Type,0))*INDEX(Escalators!$I$44:$Q$49,MATCH(AD$4,Escalators!$C$44:$C$49,0),MATCH(AD$5,Escalators!$I$43:$Q$43,0))</f>
        <v>0</v>
      </c>
      <c r="AE27" s="47">
        <f>INDEX(Lab_Mat!$K$6:$N$9,MATCH($H27,Lab_Mat!$J$6:$J$9,0),MATCH($AG$4,Lab_Mat!$K$5:$N$5,0))*$J27*INDEX(Act_Type_Repex_Splits,MATCH($I27,Act_Type_Repex,0),MATCH(AE$4,Mat_Type,0))*INDEX(Escalators!$I$44:$Q$49,MATCH(AE$4,Escalators!$C$44:$C$49,0),MATCH(AE$5,Escalators!$I$43:$Q$43,0))</f>
        <v>0</v>
      </c>
      <c r="AF27" s="47">
        <f>INDEX(Lab_Mat!$K$6:$N$9,MATCH($H27,Lab_Mat!$J$6:$J$9,0),MATCH($AG$4,Lab_Mat!$K$5:$N$5,0))*$J27*INDEX(Act_Type_Repex_Splits,MATCH($I27,Act_Type_Repex,0),MATCH(AF$4,Mat_Type,0))*INDEX(Escalators!$I$44:$Q$49,MATCH(AF$4,Escalators!$C$44:$C$49,0),MATCH(AF$5,Escalators!$I$43:$Q$43,0))</f>
        <v>0</v>
      </c>
      <c r="AG27" s="47">
        <f t="shared" si="40"/>
        <v>0</v>
      </c>
      <c r="AH27" s="47">
        <f>INDEX(Lab_Mat!$K$6:$N$9,MATCH($H27,Lab_Mat!$J$6:$J$9,0),MATCH($AY$4,Lab_Mat!$K$5:$N$5,0))*$K27*INDEX(Act_Type_Repex_Splits,MATCH($I27,Act_Type_Repex,0),MATCH(AH$4,Mat_Type,0))*INDEX(Escalators!$I$44:$U$49,MATCH(AH$4,Escalators!$C$44:$C$49,0),MATCH(AH$5,Escalators!$I$43:$U$43,0))</f>
        <v>0</v>
      </c>
      <c r="AI27" s="47">
        <f>INDEX(Lab_Mat!$K$6:$N$9,MATCH($H27,Lab_Mat!$J$6:$J$9,0),MATCH($AY$4,Lab_Mat!$K$5:$N$5,0))*$K27*INDEX(Act_Type_Repex_Splits,MATCH($I27,Act_Type_Repex,0),MATCH(AI$4,Mat_Type,0))*INDEX(Escalators!$I$44:$U$49,MATCH(AI$4,Escalators!$C$44:$C$49,0),MATCH(AI$5,Escalators!$I$43:$U$43,0))</f>
        <v>0</v>
      </c>
      <c r="AJ27" s="47">
        <f>INDEX(Lab_Mat!$K$6:$N$9,MATCH($H27,Lab_Mat!$J$6:$J$9,0),MATCH($AY$4,Lab_Mat!$K$5:$N$5,0))*$K27*INDEX(Act_Type_Repex_Splits,MATCH($I27,Act_Type_Repex,0),MATCH(AJ$4,Mat_Type,0))*INDEX(Escalators!$I$44:$U$49,MATCH(AJ$4,Escalators!$C$44:$C$49,0),MATCH(AJ$5,Escalators!$I$43:$U$43,0))</f>
        <v>0</v>
      </c>
      <c r="AK27" s="47">
        <f>INDEX(Lab_Mat!$K$6:$N$9,MATCH($H27,Lab_Mat!$J$6:$J$9,0),MATCH($AY$4,Lab_Mat!$K$5:$N$5,0))*$K27*INDEX(Act_Type_Repex_Splits,MATCH($I27,Act_Type_Repex,0),MATCH(AK$4,Mat_Type,0))*INDEX(Escalators!$I$44:$U$49,MATCH(AK$4,Escalators!$C$44:$C$49,0),MATCH(AK$5,Escalators!$I$43:$U$43,0))</f>
        <v>0</v>
      </c>
      <c r="AL27" s="47">
        <f>INDEX(Lab_Mat!$K$6:$N$9,MATCH($H27,Lab_Mat!$J$6:$J$9,0),MATCH($AY$4,Lab_Mat!$K$5:$N$5,0))*$K27*INDEX(Act_Type_Repex_Splits,MATCH($I27,Act_Type_Repex,0),MATCH(AL$4,Mat_Type,0))*INDEX(Escalators!$I$44:$U$49,MATCH(AL$4,Escalators!$C$44:$C$49,0),MATCH(AL$5,Escalators!$I$43:$U$43,0))</f>
        <v>0</v>
      </c>
      <c r="AM27" s="47">
        <f t="shared" si="41"/>
        <v>0</v>
      </c>
      <c r="AN27" s="47">
        <f>INDEX(Lab_Mat!$K$6:$N$9,MATCH($H27,Lab_Mat!$J$6:$J$9,0),MATCH($AY$4,Lab_Mat!$K$5:$N$5,0))*$L27*INDEX(Act_Type_Repex_Splits,MATCH($I27,Act_Type_Repex,0),MATCH(AN$4,Mat_Type,0))*INDEX(Escalators!$I$44:$U$49,MATCH(AN$4,Escalators!$C$44:$C$49,0),MATCH(AN$5,Escalators!$I$43:$U$43,0))</f>
        <v>0</v>
      </c>
      <c r="AO27" s="47">
        <f>INDEX(Lab_Mat!$K$6:$N$9,MATCH($H27,Lab_Mat!$J$6:$J$9,0),MATCH($AY$4,Lab_Mat!$K$5:$N$5,0))*$L27*INDEX(Act_Type_Repex_Splits,MATCH($I27,Act_Type_Repex,0),MATCH(AO$4,Mat_Type,0))*INDEX(Escalators!$I$44:$U$49,MATCH(AO$4,Escalators!$C$44:$C$49,0),MATCH(AO$5,Escalators!$I$43:$U$43,0))</f>
        <v>0</v>
      </c>
      <c r="AP27" s="47">
        <f>INDEX(Lab_Mat!$K$6:$N$9,MATCH($H27,Lab_Mat!$J$6:$J$9,0),MATCH($AY$4,Lab_Mat!$K$5:$N$5,0))*$L27*INDEX(Act_Type_Repex_Splits,MATCH($I27,Act_Type_Repex,0),MATCH(AP$4,Mat_Type,0))*INDEX(Escalators!$I$44:$U$49,MATCH(AP$4,Escalators!$C$44:$C$49,0),MATCH(AP$5,Escalators!$I$43:$U$43,0))</f>
        <v>0</v>
      </c>
      <c r="AQ27" s="47">
        <f>INDEX(Lab_Mat!$K$6:$N$9,MATCH($H27,Lab_Mat!$J$6:$J$9,0),MATCH($AY$4,Lab_Mat!$K$5:$N$5,0))*$L27*INDEX(Act_Type_Repex_Splits,MATCH($I27,Act_Type_Repex,0),MATCH(AQ$4,Mat_Type,0))*INDEX(Escalators!$I$44:$U$49,MATCH(AQ$4,Escalators!$C$44:$C$49,0),MATCH(AQ$5,Escalators!$I$43:$U$43,0))</f>
        <v>0</v>
      </c>
      <c r="AR27" s="47">
        <f>INDEX(Lab_Mat!$K$6:$N$9,MATCH($H27,Lab_Mat!$J$6:$J$9,0),MATCH($AY$4,Lab_Mat!$K$5:$N$5,0))*$L27*INDEX(Act_Type_Repex_Splits,MATCH($I27,Act_Type_Repex,0),MATCH(AR$4,Mat_Type,0))*INDEX(Escalators!$I$44:$U$49,MATCH(AR$4,Escalators!$C$44:$C$49,0),MATCH(AR$5,Escalators!$I$43:$U$43,0))</f>
        <v>0</v>
      </c>
      <c r="AS27" s="47">
        <f t="shared" si="42"/>
        <v>0</v>
      </c>
      <c r="AT27" s="47">
        <f>INDEX(Lab_Mat!$K$6:$N$9,MATCH($H27,Lab_Mat!$J$6:$J$9,0),MATCH($AY$4,Lab_Mat!$K$5:$N$5,0))*$M27*INDEX(Act_Type_Repex_Splits,MATCH($I27,Act_Type_Repex,0),MATCH(AT$4,Mat_Type,0))*INDEX(Escalators!$I$44:$U$49,MATCH(AT$4,Escalators!$C$44:$C$49,0),MATCH(AT$5,Escalators!$I$43:$U$43,0))</f>
        <v>0</v>
      </c>
      <c r="AU27" s="47">
        <f>INDEX(Lab_Mat!$K$6:$N$9,MATCH($H27,Lab_Mat!$J$6:$J$9,0),MATCH($AY$4,Lab_Mat!$K$5:$N$5,0))*$M27*INDEX(Act_Type_Repex_Splits,MATCH($I27,Act_Type_Repex,0),MATCH(AU$4,Mat_Type,0))*INDEX(Escalators!$I$44:$U$49,MATCH(AU$4,Escalators!$C$44:$C$49,0),MATCH(AU$5,Escalators!$I$43:$U$43,0))</f>
        <v>0</v>
      </c>
      <c r="AV27" s="47">
        <f>INDEX(Lab_Mat!$K$6:$N$9,MATCH($H27,Lab_Mat!$J$6:$J$9,0),MATCH($AY$4,Lab_Mat!$K$5:$N$5,0))*$M27*INDEX(Act_Type_Repex_Splits,MATCH($I27,Act_Type_Repex,0),MATCH(AV$4,Mat_Type,0))*INDEX(Escalators!$I$44:$U$49,MATCH(AV$4,Escalators!$C$44:$C$49,0),MATCH(AV$5,Escalators!$I$43:$U$43,0))</f>
        <v>6.5851053519290765</v>
      </c>
      <c r="AW27" s="47">
        <f>INDEX(Lab_Mat!$K$6:$N$9,MATCH($H27,Lab_Mat!$J$6:$J$9,0),MATCH($AY$4,Lab_Mat!$K$5:$N$5,0))*$M27*INDEX(Act_Type_Repex_Splits,MATCH($I27,Act_Type_Repex,0),MATCH(AW$4,Mat_Type,0))*INDEX(Escalators!$I$44:$U$49,MATCH(AW$4,Escalators!$C$44:$C$49,0),MATCH(AW$5,Escalators!$I$43:$U$43,0))</f>
        <v>0</v>
      </c>
      <c r="AX27" s="47">
        <f>INDEX(Lab_Mat!$K$6:$N$9,MATCH($H27,Lab_Mat!$J$6:$J$9,0),MATCH($AY$4,Lab_Mat!$K$5:$N$5,0))*$M27*INDEX(Act_Type_Repex_Splits,MATCH($I27,Act_Type_Repex,0),MATCH(AX$4,Mat_Type,0))*INDEX(Escalators!$I$44:$U$49,MATCH(AX$4,Escalators!$C$44:$C$49,0),MATCH(AX$5,Escalators!$I$43:$U$43,0))</f>
        <v>26.340421407716306</v>
      </c>
      <c r="AY27" s="47">
        <f t="shared" si="43"/>
        <v>32.925526759645379</v>
      </c>
      <c r="AZ27" s="47">
        <f>INDEX(Lab_Mat!$K$6:$N$9,MATCH($H27,Lab_Mat!$J$6:$J$9,0),MATCH($BE$4,Lab_Mat!$K$5:$N$5,0))*$N27*INDEX(Act_Type_Repex_Splits,MATCH($I27,Act_Type_Repex,0),MATCH(AZ$4,Mat_Type,0))*INDEX(Escalators!$I$44:$U$49,MATCH(AZ$4,Escalators!$C$44:$C$49,0),MATCH(AZ$5,Escalators!$I$43:$U$43,0))</f>
        <v>0</v>
      </c>
      <c r="BA27" s="47">
        <f>INDEX(Lab_Mat!$K$6:$N$9,MATCH($H27,Lab_Mat!$J$6:$J$9,0),MATCH($BE$4,Lab_Mat!$K$5:$N$5,0))*$N27*INDEX(Act_Type_Repex_Splits,MATCH($I27,Act_Type_Repex,0),MATCH(BA$4,Mat_Type,0))*INDEX(Escalators!$I$44:$U$49,MATCH(BA$4,Escalators!$C$44:$C$49,0),MATCH(BA$5,Escalators!$I$43:$U$43,0))</f>
        <v>0</v>
      </c>
      <c r="BB27" s="47">
        <f>INDEX(Lab_Mat!$K$6:$N$9,MATCH($H27,Lab_Mat!$J$6:$J$9,0),MATCH($BE$4,Lab_Mat!$K$5:$N$5,0))*$N27*INDEX(Act_Type_Repex_Splits,MATCH($I27,Act_Type_Repex,0),MATCH(BB$4,Mat_Type,0))*INDEX(Escalators!$I$44:$U$49,MATCH(BB$4,Escalators!$C$44:$C$49,0),MATCH(BB$5,Escalators!$I$43:$U$43,0))</f>
        <v>2.5969429556903405</v>
      </c>
      <c r="BC27" s="47">
        <f>INDEX(Lab_Mat!$K$6:$N$9,MATCH($H27,Lab_Mat!$J$6:$J$9,0),MATCH($BE$4,Lab_Mat!$K$5:$N$5,0))*$N27*INDEX(Act_Type_Repex_Splits,MATCH($I27,Act_Type_Repex,0),MATCH(BC$4,Mat_Type,0))*INDEX(Escalators!$I$44:$U$49,MATCH(BC$4,Escalators!$C$44:$C$49,0),MATCH(BC$5,Escalators!$I$43:$U$43,0))</f>
        <v>0</v>
      </c>
      <c r="BD27" s="47">
        <f>INDEX(Lab_Mat!$K$6:$N$9,MATCH($H27,Lab_Mat!$J$6:$J$9,0),MATCH($BE$4,Lab_Mat!$K$5:$N$5,0))*$N27*INDEX(Act_Type_Repex_Splits,MATCH($I27,Act_Type_Repex,0),MATCH(BD$4,Mat_Type,0))*INDEX(Escalators!$I$44:$U$49,MATCH(BD$4,Escalators!$C$44:$C$49,0),MATCH(BD$5,Escalators!$I$43:$U$43,0))</f>
        <v>10.387771822761362</v>
      </c>
      <c r="BE27" s="47">
        <f t="shared" si="44"/>
        <v>12.984714778451703</v>
      </c>
      <c r="BF27" s="47">
        <f>INDEX(Lab_Mat!$K$6:$N$9,MATCH($H27,Lab_Mat!$J$6:$J$9,0),MATCH($BK$4,Lab_Mat!$K$5:$N$5,0))*$O27*INDEX(Act_Type_Repex_Splits,MATCH($I27,Act_Type_Repex,0),MATCH(BF$4,Mat_Type,0))*INDEX(Escalators!$I$44:$U$49,MATCH(BF$4,Escalators!$C$44:$C$49,0),MATCH(BF$5,Escalators!$I$43:$U$43,0))</f>
        <v>0</v>
      </c>
      <c r="BG27" s="47">
        <f>INDEX(Lab_Mat!$K$6:$N$9,MATCH($H27,Lab_Mat!$J$6:$J$9,0),MATCH($BK$4,Lab_Mat!$K$5:$N$5,0))*$O27*INDEX(Act_Type_Repex_Splits,MATCH($I27,Act_Type_Repex,0),MATCH(BG$4,Mat_Type,0))*INDEX(Escalators!$I$44:$U$49,MATCH(BG$4,Escalators!$C$44:$C$49,0),MATCH(BG$5,Escalators!$I$43:$U$43,0))</f>
        <v>0</v>
      </c>
      <c r="BH27" s="47">
        <f>INDEX(Lab_Mat!$K$6:$N$9,MATCH($H27,Lab_Mat!$J$6:$J$9,0),MATCH($BK$4,Lab_Mat!$K$5:$N$5,0))*$O27*INDEX(Act_Type_Repex_Splits,MATCH($I27,Act_Type_Repex,0),MATCH(BH$4,Mat_Type,0))*INDEX(Escalators!$I$44:$U$49,MATCH(BH$4,Escalators!$C$44:$C$49,0),MATCH(BH$5,Escalators!$I$43:$U$43,0))</f>
        <v>0</v>
      </c>
      <c r="BI27" s="47">
        <f>INDEX(Lab_Mat!$K$6:$N$9,MATCH($H27,Lab_Mat!$J$6:$J$9,0),MATCH($BK$4,Lab_Mat!$K$5:$N$5,0))*$O27*INDEX(Act_Type_Repex_Splits,MATCH($I27,Act_Type_Repex,0),MATCH(BI$4,Mat_Type,0))*INDEX(Escalators!$I$44:$U$49,MATCH(BI$4,Escalators!$C$44:$C$49,0),MATCH(BI$5,Escalators!$I$43:$U$43,0))</f>
        <v>0</v>
      </c>
      <c r="BJ27" s="47">
        <f>INDEX(Lab_Mat!$K$6:$N$9,MATCH($H27,Lab_Mat!$J$6:$J$9,0),MATCH($BK$4,Lab_Mat!$K$5:$N$5,0))*$O27*INDEX(Act_Type_Repex_Splits,MATCH($I27,Act_Type_Repex,0),MATCH(BJ$4,Mat_Type,0))*INDEX(Escalators!$I$44:$U$49,MATCH(BJ$4,Escalators!$C$44:$C$49,0),MATCH(BJ$5,Escalators!$I$43:$U$43,0))</f>
        <v>0</v>
      </c>
      <c r="BK27" s="47">
        <f t="shared" si="45"/>
        <v>0</v>
      </c>
      <c r="BL27" s="47">
        <f>INDEX(Lab_Mat!$K$6:$N$9,MATCH($H27,Lab_Mat!$J$6:$J$9,0),MATCH($BQ$4,Lab_Mat!$K$5:$N$5,0))*$P27*INDEX(Act_Type_Repex_Splits,MATCH($I27,Act_Type_Repex,0),MATCH(BL$4,Mat_Type,0))*INDEX(Escalators!$I$44:$U$49,MATCH(BL$4,Escalators!$C$44:$C$49,0),MATCH(BL$5,Escalators!$I$43:$U$43,0))</f>
        <v>0</v>
      </c>
      <c r="BM27" s="47">
        <f>INDEX(Lab_Mat!$K$6:$N$9,MATCH($H27,Lab_Mat!$J$6:$J$9,0),MATCH($BQ$4,Lab_Mat!$K$5:$N$5,0))*$P27*INDEX(Act_Type_Repex_Splits,MATCH($I27,Act_Type_Repex,0),MATCH(BM$4,Mat_Type,0))*INDEX(Escalators!$I$44:$U$49,MATCH(BM$4,Escalators!$C$44:$C$49,0),MATCH(BM$5,Escalators!$I$43:$U$43,0))</f>
        <v>0</v>
      </c>
      <c r="BN27" s="47">
        <f>INDEX(Lab_Mat!$K$6:$N$9,MATCH($H27,Lab_Mat!$J$6:$J$9,0),MATCH($BQ$4,Lab_Mat!$K$5:$N$5,0))*$P27*INDEX(Act_Type_Repex_Splits,MATCH($I27,Act_Type_Repex,0),MATCH(BN$4,Mat_Type,0))*INDEX(Escalators!$I$44:$U$49,MATCH(BN$4,Escalators!$C$44:$C$49,0),MATCH(BN$5,Escalators!$I$43:$U$43,0))</f>
        <v>0</v>
      </c>
      <c r="BO27" s="47">
        <f>INDEX(Lab_Mat!$K$6:$N$9,MATCH($H27,Lab_Mat!$J$6:$J$9,0),MATCH($BQ$4,Lab_Mat!$K$5:$N$5,0))*$P27*INDEX(Act_Type_Repex_Splits,MATCH($I27,Act_Type_Repex,0),MATCH(BO$4,Mat_Type,0))*INDEX(Escalators!$I$44:$U$49,MATCH(BO$4,Escalators!$C$44:$C$49,0),MATCH(BO$5,Escalators!$I$43:$U$43,0))</f>
        <v>0</v>
      </c>
      <c r="BP27" s="47">
        <f>INDEX(Lab_Mat!$K$6:$N$9,MATCH($H27,Lab_Mat!$J$6:$J$9,0),MATCH($BQ$4,Lab_Mat!$K$5:$N$5,0))*$P27*INDEX(Act_Type_Repex_Splits,MATCH($I27,Act_Type_Repex,0),MATCH(BP$4,Mat_Type,0))*INDEX(Escalators!$I$44:$U$49,MATCH(BP$4,Escalators!$C$44:$C$49,0),MATCH(BP$5,Escalators!$I$43:$U$43,0))</f>
        <v>0</v>
      </c>
      <c r="BQ27" s="47">
        <f t="shared" si="46"/>
        <v>0</v>
      </c>
      <c r="BR27" s="47">
        <f>INDEX(Lab_Mat!$K$6:$N$9,MATCH($H27,Lab_Mat!$J$6:$J$9,0),MATCH($BW$4,Lab_Mat!$K$5:$N$5,0))*$Q27*INDEX(Act_Type_Repex_Splits,MATCH($I27,Act_Type_Repex,0),MATCH(BR$4,Mat_Type,0))*INDEX(Escalators!$I$44:$U$49,MATCH(BR$4,Escalators!$C$44:$C$49,0),MATCH(BR$5,Escalators!$I$43:$U$43,0))</f>
        <v>0</v>
      </c>
      <c r="BS27" s="47">
        <f>INDEX(Lab_Mat!$K$6:$N$9,MATCH($H27,Lab_Mat!$J$6:$J$9,0),MATCH($BW$4,Lab_Mat!$K$5:$N$5,0))*$Q27*INDEX(Act_Type_Repex_Splits,MATCH($I27,Act_Type_Repex,0),MATCH(BS$4,Mat_Type,0))*INDEX(Escalators!$I$44:$U$49,MATCH(BS$4,Escalators!$C$44:$C$49,0),MATCH(BS$5,Escalators!$I$43:$U$43,0))</f>
        <v>0</v>
      </c>
      <c r="BT27" s="47">
        <f>INDEX(Lab_Mat!$K$6:$N$9,MATCH($H27,Lab_Mat!$J$6:$J$9,0),MATCH($BW$4,Lab_Mat!$K$5:$N$5,0))*$Q27*INDEX(Act_Type_Repex_Splits,MATCH($I27,Act_Type_Repex,0),MATCH(BT$4,Mat_Type,0))*INDEX(Escalators!$I$44:$U$49,MATCH(BT$4,Escalators!$C$44:$C$49,0),MATCH(BT$5,Escalators!$I$43:$U$43,0))</f>
        <v>0</v>
      </c>
      <c r="BU27" s="47">
        <f>INDEX(Lab_Mat!$K$6:$N$9,MATCH($H27,Lab_Mat!$J$6:$J$9,0),MATCH($BW$4,Lab_Mat!$K$5:$N$5,0))*$Q27*INDEX(Act_Type_Repex_Splits,MATCH($I27,Act_Type_Repex,0),MATCH(BU$4,Mat_Type,0))*INDEX(Escalators!$I$44:$U$49,MATCH(BU$4,Escalators!$C$44:$C$49,0),MATCH(BU$5,Escalators!$I$43:$U$43,0))</f>
        <v>0</v>
      </c>
      <c r="BV27" s="47">
        <f>INDEX(Lab_Mat!$K$6:$N$9,MATCH($H27,Lab_Mat!$J$6:$J$9,0),MATCH($BW$4,Lab_Mat!$K$5:$N$5,0))*$Q27*INDEX(Act_Type_Repex_Splits,MATCH($I27,Act_Type_Repex,0),MATCH(BV$4,Mat_Type,0))*INDEX(Escalators!$I$44:$U$49,MATCH(BV$4,Escalators!$C$44:$C$49,0),MATCH(BV$5,Escalators!$I$43:$U$43,0))</f>
        <v>0</v>
      </c>
      <c r="BW27" s="47">
        <f t="shared" si="47"/>
        <v>0</v>
      </c>
      <c r="BY27" s="47">
        <f>INDEX(Lab_Mat!$K$6:$N$9,MATCH($H27,Lab_Mat!$J$6:$J$9,0),MATCH($BY$4,Lab_Mat!$K$5:$N$5,0))*J27*HLOOKUP(BY$5,Escalators!$I$25:$U$30,6,FALSE)</f>
        <v>0</v>
      </c>
      <c r="BZ27" s="47">
        <f>INDEX(Lab_Mat!$K$6:$N$9,MATCH($H27,Lab_Mat!$J$6:$J$9,0),MATCH($BY$4,Lab_Mat!$K$5:$N$5,0))*K27*HLOOKUP(BZ$5,Escalators!$I$25:$U$30,6,FALSE)</f>
        <v>0</v>
      </c>
      <c r="CA27" s="47">
        <f>INDEX(Lab_Mat!$K$6:$N$9,MATCH($H27,Lab_Mat!$J$6:$J$9,0),MATCH($BY$4,Lab_Mat!$K$5:$N$5,0))*L27*HLOOKUP(CA$5,Escalators!$I$25:$U$30,6,FALSE)</f>
        <v>0</v>
      </c>
      <c r="CB27" s="47">
        <f>INDEX(Lab_Mat!$K$6:$N$9,MATCH($H27,Lab_Mat!$J$6:$J$9,0),MATCH($BY$4,Lab_Mat!$K$5:$N$5,0))*M27*HLOOKUP(CB$5,Escalators!$I$25:$U$30,6,FALSE)</f>
        <v>12.348771312090696</v>
      </c>
      <c r="CC27" s="47">
        <f>INDEX(Lab_Mat!$K$6:$N$9,MATCH($H27,Lab_Mat!$J$6:$J$9,0),MATCH($BY$4,Lab_Mat!$K$5:$N$5,0))*N27*HLOOKUP(CC$5,Escalators!$I$25:$U$30,6,FALSE)</f>
        <v>4.9199043360872885</v>
      </c>
      <c r="CD27" s="47">
        <f>INDEX(Lab_Mat!$K$6:$N$9,MATCH($H27,Lab_Mat!$J$6:$J$9,0),MATCH($BY$4,Lab_Mat!$K$5:$N$5,0))*O27*HLOOKUP(CD$5,Escalators!$I$25:$U$30,6,FALSE)</f>
        <v>0</v>
      </c>
      <c r="CE27" s="47">
        <f>INDEX(Lab_Mat!$K$6:$N$9,MATCH($H27,Lab_Mat!$J$6:$J$9,0),MATCH($BY$4,Lab_Mat!$K$5:$N$5,0))*P27*HLOOKUP(CE$5,Escalators!$I$25:$U$30,6,FALSE)</f>
        <v>0</v>
      </c>
      <c r="CF27" s="47">
        <f>INDEX(Lab_Mat!$K$6:$N$9,MATCH($H27,Lab_Mat!$J$6:$J$9,0),MATCH($BY$4,Lab_Mat!$K$5:$N$5,0))*Q27*HLOOKUP(CF$5,Escalators!$I$25:$U$30,6,FALSE)</f>
        <v>0</v>
      </c>
      <c r="CH27" s="47">
        <f>INDEX(Lab_Mat!$K$6:$N$9,MATCH($H27,Lab_Mat!$J$6:$J$9,0),MATCH($CH$4,Lab_Mat!$K$5:$N$5,0))*J27</f>
        <v>0</v>
      </c>
      <c r="CI27" s="47">
        <f>INDEX(Lab_Mat!$K$6:$N$9,MATCH($H27,Lab_Mat!$J$6:$J$9,0),MATCH($CH$4,Lab_Mat!$K$5:$N$5,0))*K27</f>
        <v>0</v>
      </c>
      <c r="CJ27" s="47">
        <f>INDEX(Lab_Mat!$K$6:$N$9,MATCH($H27,Lab_Mat!$J$6:$J$9,0),MATCH($CH$4,Lab_Mat!$K$5:$N$5,0))*L27</f>
        <v>0</v>
      </c>
      <c r="CK27" s="47">
        <f>INDEX(Lab_Mat!$K$6:$N$9,MATCH($H27,Lab_Mat!$J$6:$J$9,0),MATCH($CH$4,Lab_Mat!$K$5:$N$5,0))*M27</f>
        <v>4.7545566351694379</v>
      </c>
      <c r="CL27" s="47">
        <f>INDEX(Lab_Mat!$K$6:$N$9,MATCH($H27,Lab_Mat!$J$6:$J$9,0),MATCH($CH$4,Lab_Mat!$K$5:$N$5,0))*N27</f>
        <v>1.8750364195034404</v>
      </c>
      <c r="CM27" s="47">
        <f>INDEX(Lab_Mat!$K$6:$N$9,MATCH($H27,Lab_Mat!$J$6:$J$9,0),MATCH($CH$4,Lab_Mat!$K$5:$N$5,0))*O27</f>
        <v>0</v>
      </c>
      <c r="CN27" s="47">
        <f>INDEX(Lab_Mat!$K$6:$N$9,MATCH($H27,Lab_Mat!$J$6:$J$9,0),MATCH($CH$4,Lab_Mat!$K$5:$N$5,0))*P27</f>
        <v>0</v>
      </c>
      <c r="CO27" s="47">
        <f>INDEX(Lab_Mat!$K$6:$N$9,MATCH($H27,Lab_Mat!$J$6:$J$9,0),MATCH($CH$4,Lab_Mat!$K$5:$N$5,0))*Q27</f>
        <v>0</v>
      </c>
      <c r="CQ27" s="47">
        <f t="shared" si="24"/>
        <v>0</v>
      </c>
      <c r="CR27" s="47">
        <f t="shared" si="25"/>
        <v>0</v>
      </c>
      <c r="CS27" s="47">
        <f t="shared" si="26"/>
        <v>0</v>
      </c>
      <c r="CT27" s="47">
        <f t="shared" si="27"/>
        <v>61.58295357521326</v>
      </c>
      <c r="CU27" s="47">
        <f t="shared" si="28"/>
        <v>24.382952468216885</v>
      </c>
      <c r="CV27" s="47">
        <f t="shared" si="29"/>
        <v>0</v>
      </c>
      <c r="CW27" s="47">
        <f t="shared" si="30"/>
        <v>0</v>
      </c>
      <c r="CX27" s="47">
        <f t="shared" si="31"/>
        <v>0</v>
      </c>
    </row>
    <row r="28" spans="2:109" x14ac:dyDescent="0.3">
      <c r="B28" s="7"/>
      <c r="C28" s="7" t="s">
        <v>416</v>
      </c>
      <c r="D28" s="7" t="s">
        <v>408</v>
      </c>
      <c r="E28" s="7" t="s">
        <v>50</v>
      </c>
      <c r="F28" s="7" t="s">
        <v>55</v>
      </c>
      <c r="G28" s="7" t="s">
        <v>34</v>
      </c>
      <c r="H28" s="7" t="s">
        <v>562</v>
      </c>
      <c r="I28" s="7" t="s">
        <v>5</v>
      </c>
      <c r="J28" s="45"/>
      <c r="K28" s="45"/>
      <c r="L28" s="45"/>
      <c r="M28" s="45">
        <v>0</v>
      </c>
      <c r="N28" s="45">
        <v>0</v>
      </c>
      <c r="O28" s="45">
        <v>0</v>
      </c>
      <c r="P28" s="45"/>
      <c r="Q28" s="45"/>
      <c r="S28" s="47">
        <f>INDEX(Lab_Mat!$K$6:$N$9,MATCH($H28,Lab_Mat!$J$6:$J$9,0),MATCH($S$4,Lab_Mat!$K$5:$N$5,0))*J28*HLOOKUP(S$5,Escalators!$I$25:$U$30,3,FALSE)</f>
        <v>0</v>
      </c>
      <c r="T28" s="47">
        <f>INDEX(Lab_Mat!$K$6:$N$9,MATCH($H28,Lab_Mat!$J$6:$J$9,0),MATCH($S$4,Lab_Mat!$K$5:$N$5,0))*K28*HLOOKUP(T$5,Escalators!$I$25:$U$30,3,FALSE)</f>
        <v>0</v>
      </c>
      <c r="U28" s="47">
        <f>INDEX(Lab_Mat!$K$6:$N$9,MATCH($H28,Lab_Mat!$J$6:$J$9,0),MATCH($S$4,Lab_Mat!$K$5:$N$5,0))*L28*HLOOKUP(U$5,Escalators!$I$25:$U$30,3,FALSE)</f>
        <v>0</v>
      </c>
      <c r="V28" s="47">
        <f>INDEX(Lab_Mat!$K$6:$N$9,MATCH($H28,Lab_Mat!$J$6:$J$9,0),MATCH($S$4,Lab_Mat!$K$5:$N$5,0))*M28*HLOOKUP(V$5,Escalators!$I$25:$U$30,3,FALSE)</f>
        <v>0</v>
      </c>
      <c r="W28" s="47">
        <f>INDEX(Lab_Mat!$K$6:$N$9,MATCH($H28,Lab_Mat!$J$6:$J$9,0),MATCH($S$4,Lab_Mat!$K$5:$N$5,0))*N28*HLOOKUP(W$5,Escalators!$I$25:$U$30,3,FALSE)</f>
        <v>0</v>
      </c>
      <c r="X28" s="47">
        <f>INDEX(Lab_Mat!$K$6:$N$9,MATCH($H28,Lab_Mat!$J$6:$J$9,0),MATCH($S$4,Lab_Mat!$K$5:$N$5,0))*O28*HLOOKUP(X$5,Escalators!$I$25:$U$30,3,FALSE)</f>
        <v>0</v>
      </c>
      <c r="Y28" s="47">
        <f>INDEX(Lab_Mat!$K$6:$N$9,MATCH($H28,Lab_Mat!$J$6:$J$9,0),MATCH($S$4,Lab_Mat!$K$5:$N$5,0))*P28*HLOOKUP(Y$5,Escalators!$I$25:$U$30,3,FALSE)</f>
        <v>0</v>
      </c>
      <c r="Z28" s="47">
        <f>INDEX(Lab_Mat!$K$6:$N$9,MATCH($H28,Lab_Mat!$J$6:$J$9,0),MATCH($S$4,Lab_Mat!$K$5:$N$5,0))*Q28*HLOOKUP(Z$5,Escalators!$I$25:$U$30,3,FALSE)</f>
        <v>0</v>
      </c>
      <c r="AB28" s="47">
        <f>INDEX(Lab_Mat!$K$6:$N$9,MATCH($H28,Lab_Mat!$J$6:$J$9,0),MATCH($AG$4,Lab_Mat!$K$5:$N$5,0))*$J28*INDEX(Act_Type_Repex_Splits,MATCH($I28,Act_Type_Repex,0),MATCH(AB$4,Mat_Type,0))*INDEX(Escalators!$I$44:$Q$49,MATCH(AB$4,Escalators!$C$44:$C$49,0),MATCH(AB$5,Escalators!$I$43:$Q$43,0))</f>
        <v>0</v>
      </c>
      <c r="AC28" s="47">
        <f>INDEX(Lab_Mat!$K$6:$N$9,MATCH($H28,Lab_Mat!$J$6:$J$9,0),MATCH($AG$4,Lab_Mat!$K$5:$N$5,0))*$J28*INDEX(Act_Type_Repex_Splits,MATCH($I28,Act_Type_Repex,0),MATCH(AC$4,Mat_Type,0))*INDEX(Escalators!$I$44:$Q$49,MATCH(AC$4,Escalators!$C$44:$C$49,0),MATCH(AC$5,Escalators!$I$43:$Q$43,0))</f>
        <v>0</v>
      </c>
      <c r="AD28" s="47">
        <f>INDEX(Lab_Mat!$K$6:$N$9,MATCH($H28,Lab_Mat!$J$6:$J$9,0),MATCH($AG$4,Lab_Mat!$K$5:$N$5,0))*$J28*INDEX(Act_Type_Repex_Splits,MATCH($I28,Act_Type_Repex,0),MATCH(AD$4,Mat_Type,0))*INDEX(Escalators!$I$44:$Q$49,MATCH(AD$4,Escalators!$C$44:$C$49,0),MATCH(AD$5,Escalators!$I$43:$Q$43,0))</f>
        <v>0</v>
      </c>
      <c r="AE28" s="47">
        <f>INDEX(Lab_Mat!$K$6:$N$9,MATCH($H28,Lab_Mat!$J$6:$J$9,0),MATCH($AG$4,Lab_Mat!$K$5:$N$5,0))*$J28*INDEX(Act_Type_Repex_Splits,MATCH($I28,Act_Type_Repex,0),MATCH(AE$4,Mat_Type,0))*INDEX(Escalators!$I$44:$Q$49,MATCH(AE$4,Escalators!$C$44:$C$49,0),MATCH(AE$5,Escalators!$I$43:$Q$43,0))</f>
        <v>0</v>
      </c>
      <c r="AF28" s="47">
        <f>INDEX(Lab_Mat!$K$6:$N$9,MATCH($H28,Lab_Mat!$J$6:$J$9,0),MATCH($AG$4,Lab_Mat!$K$5:$N$5,0))*$J28*INDEX(Act_Type_Repex_Splits,MATCH($I28,Act_Type_Repex,0),MATCH(AF$4,Mat_Type,0))*INDEX(Escalators!$I$44:$Q$49,MATCH(AF$4,Escalators!$C$44:$C$49,0),MATCH(AF$5,Escalators!$I$43:$Q$43,0))</f>
        <v>0</v>
      </c>
      <c r="AG28" s="47">
        <f t="shared" si="40"/>
        <v>0</v>
      </c>
      <c r="AH28" s="47">
        <f>INDEX(Lab_Mat!$K$6:$N$9,MATCH($H28,Lab_Mat!$J$6:$J$9,0),MATCH($AY$4,Lab_Mat!$K$5:$N$5,0))*$K28*INDEX(Act_Type_Repex_Splits,MATCH($I28,Act_Type_Repex,0),MATCH(AH$4,Mat_Type,0))*INDEX(Escalators!$I$44:$U$49,MATCH(AH$4,Escalators!$C$44:$C$49,0),MATCH(AH$5,Escalators!$I$43:$U$43,0))</f>
        <v>0</v>
      </c>
      <c r="AI28" s="47">
        <f>INDEX(Lab_Mat!$K$6:$N$9,MATCH($H28,Lab_Mat!$J$6:$J$9,0),MATCH($AY$4,Lab_Mat!$K$5:$N$5,0))*$K28*INDEX(Act_Type_Repex_Splits,MATCH($I28,Act_Type_Repex,0),MATCH(AI$4,Mat_Type,0))*INDEX(Escalators!$I$44:$U$49,MATCH(AI$4,Escalators!$C$44:$C$49,0),MATCH(AI$5,Escalators!$I$43:$U$43,0))</f>
        <v>0</v>
      </c>
      <c r="AJ28" s="47">
        <f>INDEX(Lab_Mat!$K$6:$N$9,MATCH($H28,Lab_Mat!$J$6:$J$9,0),MATCH($AY$4,Lab_Mat!$K$5:$N$5,0))*$K28*INDEX(Act_Type_Repex_Splits,MATCH($I28,Act_Type_Repex,0),MATCH(AJ$4,Mat_Type,0))*INDEX(Escalators!$I$44:$U$49,MATCH(AJ$4,Escalators!$C$44:$C$49,0),MATCH(AJ$5,Escalators!$I$43:$U$43,0))</f>
        <v>0</v>
      </c>
      <c r="AK28" s="47">
        <f>INDEX(Lab_Mat!$K$6:$N$9,MATCH($H28,Lab_Mat!$J$6:$J$9,0),MATCH($AY$4,Lab_Mat!$K$5:$N$5,0))*$K28*INDEX(Act_Type_Repex_Splits,MATCH($I28,Act_Type_Repex,0),MATCH(AK$4,Mat_Type,0))*INDEX(Escalators!$I$44:$U$49,MATCH(AK$4,Escalators!$C$44:$C$49,0),MATCH(AK$5,Escalators!$I$43:$U$43,0))</f>
        <v>0</v>
      </c>
      <c r="AL28" s="47">
        <f>INDEX(Lab_Mat!$K$6:$N$9,MATCH($H28,Lab_Mat!$J$6:$J$9,0),MATCH($AY$4,Lab_Mat!$K$5:$N$5,0))*$K28*INDEX(Act_Type_Repex_Splits,MATCH($I28,Act_Type_Repex,0),MATCH(AL$4,Mat_Type,0))*INDEX(Escalators!$I$44:$U$49,MATCH(AL$4,Escalators!$C$44:$C$49,0),MATCH(AL$5,Escalators!$I$43:$U$43,0))</f>
        <v>0</v>
      </c>
      <c r="AM28" s="47">
        <f t="shared" si="41"/>
        <v>0</v>
      </c>
      <c r="AN28" s="47">
        <f>INDEX(Lab_Mat!$K$6:$N$9,MATCH($H28,Lab_Mat!$J$6:$J$9,0),MATCH($AY$4,Lab_Mat!$K$5:$N$5,0))*$L28*INDEX(Act_Type_Repex_Splits,MATCH($I28,Act_Type_Repex,0),MATCH(AN$4,Mat_Type,0))*INDEX(Escalators!$I$44:$U$49,MATCH(AN$4,Escalators!$C$44:$C$49,0),MATCH(AN$5,Escalators!$I$43:$U$43,0))</f>
        <v>0</v>
      </c>
      <c r="AO28" s="47">
        <f>INDEX(Lab_Mat!$K$6:$N$9,MATCH($H28,Lab_Mat!$J$6:$J$9,0),MATCH($AY$4,Lab_Mat!$K$5:$N$5,0))*$L28*INDEX(Act_Type_Repex_Splits,MATCH($I28,Act_Type_Repex,0),MATCH(AO$4,Mat_Type,0))*INDEX(Escalators!$I$44:$U$49,MATCH(AO$4,Escalators!$C$44:$C$49,0),MATCH(AO$5,Escalators!$I$43:$U$43,0))</f>
        <v>0</v>
      </c>
      <c r="AP28" s="47">
        <f>INDEX(Lab_Mat!$K$6:$N$9,MATCH($H28,Lab_Mat!$J$6:$J$9,0),MATCH($AY$4,Lab_Mat!$K$5:$N$5,0))*$L28*INDEX(Act_Type_Repex_Splits,MATCH($I28,Act_Type_Repex,0),MATCH(AP$4,Mat_Type,0))*INDEX(Escalators!$I$44:$U$49,MATCH(AP$4,Escalators!$C$44:$C$49,0),MATCH(AP$5,Escalators!$I$43:$U$43,0))</f>
        <v>0</v>
      </c>
      <c r="AQ28" s="47">
        <f>INDEX(Lab_Mat!$K$6:$N$9,MATCH($H28,Lab_Mat!$J$6:$J$9,0),MATCH($AY$4,Lab_Mat!$K$5:$N$5,0))*$L28*INDEX(Act_Type_Repex_Splits,MATCH($I28,Act_Type_Repex,0),MATCH(AQ$4,Mat_Type,0))*INDEX(Escalators!$I$44:$U$49,MATCH(AQ$4,Escalators!$C$44:$C$49,0),MATCH(AQ$5,Escalators!$I$43:$U$43,0))</f>
        <v>0</v>
      </c>
      <c r="AR28" s="47">
        <f>INDEX(Lab_Mat!$K$6:$N$9,MATCH($H28,Lab_Mat!$J$6:$J$9,0),MATCH($AY$4,Lab_Mat!$K$5:$N$5,0))*$L28*INDEX(Act_Type_Repex_Splits,MATCH($I28,Act_Type_Repex,0),MATCH(AR$4,Mat_Type,0))*INDEX(Escalators!$I$44:$U$49,MATCH(AR$4,Escalators!$C$44:$C$49,0),MATCH(AR$5,Escalators!$I$43:$U$43,0))</f>
        <v>0</v>
      </c>
      <c r="AS28" s="47">
        <f t="shared" si="42"/>
        <v>0</v>
      </c>
      <c r="AT28" s="47">
        <f>INDEX(Lab_Mat!$K$6:$N$9,MATCH($H28,Lab_Mat!$J$6:$J$9,0),MATCH($AY$4,Lab_Mat!$K$5:$N$5,0))*$M28*INDEX(Act_Type_Repex_Splits,MATCH($I28,Act_Type_Repex,0),MATCH(AT$4,Mat_Type,0))*INDEX(Escalators!$I$44:$U$49,MATCH(AT$4,Escalators!$C$44:$C$49,0),MATCH(AT$5,Escalators!$I$43:$U$43,0))</f>
        <v>0</v>
      </c>
      <c r="AU28" s="47">
        <f>INDEX(Lab_Mat!$K$6:$N$9,MATCH($H28,Lab_Mat!$J$6:$J$9,0),MATCH($AY$4,Lab_Mat!$K$5:$N$5,0))*$M28*INDEX(Act_Type_Repex_Splits,MATCH($I28,Act_Type_Repex,0),MATCH(AU$4,Mat_Type,0))*INDEX(Escalators!$I$44:$U$49,MATCH(AU$4,Escalators!$C$44:$C$49,0),MATCH(AU$5,Escalators!$I$43:$U$43,0))</f>
        <v>0</v>
      </c>
      <c r="AV28" s="47">
        <f>INDEX(Lab_Mat!$K$6:$N$9,MATCH($H28,Lab_Mat!$J$6:$J$9,0),MATCH($AY$4,Lab_Mat!$K$5:$N$5,0))*$M28*INDEX(Act_Type_Repex_Splits,MATCH($I28,Act_Type_Repex,0),MATCH(AV$4,Mat_Type,0))*INDEX(Escalators!$I$44:$U$49,MATCH(AV$4,Escalators!$C$44:$C$49,0),MATCH(AV$5,Escalators!$I$43:$U$43,0))</f>
        <v>0</v>
      </c>
      <c r="AW28" s="47">
        <f>INDEX(Lab_Mat!$K$6:$N$9,MATCH($H28,Lab_Mat!$J$6:$J$9,0),MATCH($AY$4,Lab_Mat!$K$5:$N$5,0))*$M28*INDEX(Act_Type_Repex_Splits,MATCH($I28,Act_Type_Repex,0),MATCH(AW$4,Mat_Type,0))*INDEX(Escalators!$I$44:$U$49,MATCH(AW$4,Escalators!$C$44:$C$49,0),MATCH(AW$5,Escalators!$I$43:$U$43,0))</f>
        <v>0</v>
      </c>
      <c r="AX28" s="47">
        <f>INDEX(Lab_Mat!$K$6:$N$9,MATCH($H28,Lab_Mat!$J$6:$J$9,0),MATCH($AY$4,Lab_Mat!$K$5:$N$5,0))*$M28*INDEX(Act_Type_Repex_Splits,MATCH($I28,Act_Type_Repex,0),MATCH(AX$4,Mat_Type,0))*INDEX(Escalators!$I$44:$U$49,MATCH(AX$4,Escalators!$C$44:$C$49,0),MATCH(AX$5,Escalators!$I$43:$U$43,0))</f>
        <v>0</v>
      </c>
      <c r="AY28" s="47">
        <f t="shared" si="43"/>
        <v>0</v>
      </c>
      <c r="AZ28" s="47">
        <f>INDEX(Lab_Mat!$K$6:$N$9,MATCH($H28,Lab_Mat!$J$6:$J$9,0),MATCH($BE$4,Lab_Mat!$K$5:$N$5,0))*$N28*INDEX(Act_Type_Repex_Splits,MATCH($I28,Act_Type_Repex,0),MATCH(AZ$4,Mat_Type,0))*INDEX(Escalators!$I$44:$U$49,MATCH(AZ$4,Escalators!$C$44:$C$49,0),MATCH(AZ$5,Escalators!$I$43:$U$43,0))</f>
        <v>0</v>
      </c>
      <c r="BA28" s="47">
        <f>INDEX(Lab_Mat!$K$6:$N$9,MATCH($H28,Lab_Mat!$J$6:$J$9,0),MATCH($BE$4,Lab_Mat!$K$5:$N$5,0))*$N28*INDEX(Act_Type_Repex_Splits,MATCH($I28,Act_Type_Repex,0),MATCH(BA$4,Mat_Type,0))*INDEX(Escalators!$I$44:$U$49,MATCH(BA$4,Escalators!$C$44:$C$49,0),MATCH(BA$5,Escalators!$I$43:$U$43,0))</f>
        <v>0</v>
      </c>
      <c r="BB28" s="47">
        <f>INDEX(Lab_Mat!$K$6:$N$9,MATCH($H28,Lab_Mat!$J$6:$J$9,0),MATCH($BE$4,Lab_Mat!$K$5:$N$5,0))*$N28*INDEX(Act_Type_Repex_Splits,MATCH($I28,Act_Type_Repex,0),MATCH(BB$4,Mat_Type,0))*INDEX(Escalators!$I$44:$U$49,MATCH(BB$4,Escalators!$C$44:$C$49,0),MATCH(BB$5,Escalators!$I$43:$U$43,0))</f>
        <v>0</v>
      </c>
      <c r="BC28" s="47">
        <f>INDEX(Lab_Mat!$K$6:$N$9,MATCH($H28,Lab_Mat!$J$6:$J$9,0),MATCH($BE$4,Lab_Mat!$K$5:$N$5,0))*$N28*INDEX(Act_Type_Repex_Splits,MATCH($I28,Act_Type_Repex,0),MATCH(BC$4,Mat_Type,0))*INDEX(Escalators!$I$44:$U$49,MATCH(BC$4,Escalators!$C$44:$C$49,0),MATCH(BC$5,Escalators!$I$43:$U$43,0))</f>
        <v>0</v>
      </c>
      <c r="BD28" s="47">
        <f>INDEX(Lab_Mat!$K$6:$N$9,MATCH($H28,Lab_Mat!$J$6:$J$9,0),MATCH($BE$4,Lab_Mat!$K$5:$N$5,0))*$N28*INDEX(Act_Type_Repex_Splits,MATCH($I28,Act_Type_Repex,0),MATCH(BD$4,Mat_Type,0))*INDEX(Escalators!$I$44:$U$49,MATCH(BD$4,Escalators!$C$44:$C$49,0),MATCH(BD$5,Escalators!$I$43:$U$43,0))</f>
        <v>0</v>
      </c>
      <c r="BE28" s="47">
        <f t="shared" si="44"/>
        <v>0</v>
      </c>
      <c r="BF28" s="47">
        <f>INDEX(Lab_Mat!$K$6:$N$9,MATCH($H28,Lab_Mat!$J$6:$J$9,0),MATCH($BK$4,Lab_Mat!$K$5:$N$5,0))*$O28*INDEX(Act_Type_Repex_Splits,MATCH($I28,Act_Type_Repex,0),MATCH(BF$4,Mat_Type,0))*INDEX(Escalators!$I$44:$U$49,MATCH(BF$4,Escalators!$C$44:$C$49,0),MATCH(BF$5,Escalators!$I$43:$U$43,0))</f>
        <v>0</v>
      </c>
      <c r="BG28" s="47">
        <f>INDEX(Lab_Mat!$K$6:$N$9,MATCH($H28,Lab_Mat!$J$6:$J$9,0),MATCH($BK$4,Lab_Mat!$K$5:$N$5,0))*$O28*INDEX(Act_Type_Repex_Splits,MATCH($I28,Act_Type_Repex,0),MATCH(BG$4,Mat_Type,0))*INDEX(Escalators!$I$44:$U$49,MATCH(BG$4,Escalators!$C$44:$C$49,0),MATCH(BG$5,Escalators!$I$43:$U$43,0))</f>
        <v>0</v>
      </c>
      <c r="BH28" s="47">
        <f>INDEX(Lab_Mat!$K$6:$N$9,MATCH($H28,Lab_Mat!$J$6:$J$9,0),MATCH($BK$4,Lab_Mat!$K$5:$N$5,0))*$O28*INDEX(Act_Type_Repex_Splits,MATCH($I28,Act_Type_Repex,0),MATCH(BH$4,Mat_Type,0))*INDEX(Escalators!$I$44:$U$49,MATCH(BH$4,Escalators!$C$44:$C$49,0),MATCH(BH$5,Escalators!$I$43:$U$43,0))</f>
        <v>0</v>
      </c>
      <c r="BI28" s="47">
        <f>INDEX(Lab_Mat!$K$6:$N$9,MATCH($H28,Lab_Mat!$J$6:$J$9,0),MATCH($BK$4,Lab_Mat!$K$5:$N$5,0))*$O28*INDEX(Act_Type_Repex_Splits,MATCH($I28,Act_Type_Repex,0),MATCH(BI$4,Mat_Type,0))*INDEX(Escalators!$I$44:$U$49,MATCH(BI$4,Escalators!$C$44:$C$49,0),MATCH(BI$5,Escalators!$I$43:$U$43,0))</f>
        <v>0</v>
      </c>
      <c r="BJ28" s="47">
        <f>INDEX(Lab_Mat!$K$6:$N$9,MATCH($H28,Lab_Mat!$J$6:$J$9,0),MATCH($BK$4,Lab_Mat!$K$5:$N$5,0))*$O28*INDEX(Act_Type_Repex_Splits,MATCH($I28,Act_Type_Repex,0),MATCH(BJ$4,Mat_Type,0))*INDEX(Escalators!$I$44:$U$49,MATCH(BJ$4,Escalators!$C$44:$C$49,0),MATCH(BJ$5,Escalators!$I$43:$U$43,0))</f>
        <v>0</v>
      </c>
      <c r="BK28" s="47">
        <f t="shared" si="45"/>
        <v>0</v>
      </c>
      <c r="BL28" s="47">
        <f>INDEX(Lab_Mat!$K$6:$N$9,MATCH($H28,Lab_Mat!$J$6:$J$9,0),MATCH($BQ$4,Lab_Mat!$K$5:$N$5,0))*$P28*INDEX(Act_Type_Repex_Splits,MATCH($I28,Act_Type_Repex,0),MATCH(BL$4,Mat_Type,0))*INDEX(Escalators!$I$44:$U$49,MATCH(BL$4,Escalators!$C$44:$C$49,0),MATCH(BL$5,Escalators!$I$43:$U$43,0))</f>
        <v>0</v>
      </c>
      <c r="BM28" s="47">
        <f>INDEX(Lab_Mat!$K$6:$N$9,MATCH($H28,Lab_Mat!$J$6:$J$9,0),MATCH($BQ$4,Lab_Mat!$K$5:$N$5,0))*$P28*INDEX(Act_Type_Repex_Splits,MATCH($I28,Act_Type_Repex,0),MATCH(BM$4,Mat_Type,0))*INDEX(Escalators!$I$44:$U$49,MATCH(BM$4,Escalators!$C$44:$C$49,0),MATCH(BM$5,Escalators!$I$43:$U$43,0))</f>
        <v>0</v>
      </c>
      <c r="BN28" s="47">
        <f>INDEX(Lab_Mat!$K$6:$N$9,MATCH($H28,Lab_Mat!$J$6:$J$9,0),MATCH($BQ$4,Lab_Mat!$K$5:$N$5,0))*$P28*INDEX(Act_Type_Repex_Splits,MATCH($I28,Act_Type_Repex,0),MATCH(BN$4,Mat_Type,0))*INDEX(Escalators!$I$44:$U$49,MATCH(BN$4,Escalators!$C$44:$C$49,0),MATCH(BN$5,Escalators!$I$43:$U$43,0))</f>
        <v>0</v>
      </c>
      <c r="BO28" s="47">
        <f>INDEX(Lab_Mat!$K$6:$N$9,MATCH($H28,Lab_Mat!$J$6:$J$9,0),MATCH($BQ$4,Lab_Mat!$K$5:$N$5,0))*$P28*INDEX(Act_Type_Repex_Splits,MATCH($I28,Act_Type_Repex,0),MATCH(BO$4,Mat_Type,0))*INDEX(Escalators!$I$44:$U$49,MATCH(BO$4,Escalators!$C$44:$C$49,0),MATCH(BO$5,Escalators!$I$43:$U$43,0))</f>
        <v>0</v>
      </c>
      <c r="BP28" s="47">
        <f>INDEX(Lab_Mat!$K$6:$N$9,MATCH($H28,Lab_Mat!$J$6:$J$9,0),MATCH($BQ$4,Lab_Mat!$K$5:$N$5,0))*$P28*INDEX(Act_Type_Repex_Splits,MATCH($I28,Act_Type_Repex,0),MATCH(BP$4,Mat_Type,0))*INDEX(Escalators!$I$44:$U$49,MATCH(BP$4,Escalators!$C$44:$C$49,0),MATCH(BP$5,Escalators!$I$43:$U$43,0))</f>
        <v>0</v>
      </c>
      <c r="BQ28" s="47">
        <f t="shared" si="46"/>
        <v>0</v>
      </c>
      <c r="BR28" s="47">
        <f>INDEX(Lab_Mat!$K$6:$N$9,MATCH($H28,Lab_Mat!$J$6:$J$9,0),MATCH($BW$4,Lab_Mat!$K$5:$N$5,0))*$Q28*INDEX(Act_Type_Repex_Splits,MATCH($I28,Act_Type_Repex,0),MATCH(BR$4,Mat_Type,0))*INDEX(Escalators!$I$44:$U$49,MATCH(BR$4,Escalators!$C$44:$C$49,0),MATCH(BR$5,Escalators!$I$43:$U$43,0))</f>
        <v>0</v>
      </c>
      <c r="BS28" s="47">
        <f>INDEX(Lab_Mat!$K$6:$N$9,MATCH($H28,Lab_Mat!$J$6:$J$9,0),MATCH($BW$4,Lab_Mat!$K$5:$N$5,0))*$Q28*INDEX(Act_Type_Repex_Splits,MATCH($I28,Act_Type_Repex,0),MATCH(BS$4,Mat_Type,0))*INDEX(Escalators!$I$44:$U$49,MATCH(BS$4,Escalators!$C$44:$C$49,0),MATCH(BS$5,Escalators!$I$43:$U$43,0))</f>
        <v>0</v>
      </c>
      <c r="BT28" s="47">
        <f>INDEX(Lab_Mat!$K$6:$N$9,MATCH($H28,Lab_Mat!$J$6:$J$9,0),MATCH($BW$4,Lab_Mat!$K$5:$N$5,0))*$Q28*INDEX(Act_Type_Repex_Splits,MATCH($I28,Act_Type_Repex,0),MATCH(BT$4,Mat_Type,0))*INDEX(Escalators!$I$44:$U$49,MATCH(BT$4,Escalators!$C$44:$C$49,0),MATCH(BT$5,Escalators!$I$43:$U$43,0))</f>
        <v>0</v>
      </c>
      <c r="BU28" s="47">
        <f>INDEX(Lab_Mat!$K$6:$N$9,MATCH($H28,Lab_Mat!$J$6:$J$9,0),MATCH($BW$4,Lab_Mat!$K$5:$N$5,0))*$Q28*INDEX(Act_Type_Repex_Splits,MATCH($I28,Act_Type_Repex,0),MATCH(BU$4,Mat_Type,0))*INDEX(Escalators!$I$44:$U$49,MATCH(BU$4,Escalators!$C$44:$C$49,0),MATCH(BU$5,Escalators!$I$43:$U$43,0))</f>
        <v>0</v>
      </c>
      <c r="BV28" s="47">
        <f>INDEX(Lab_Mat!$K$6:$N$9,MATCH($H28,Lab_Mat!$J$6:$J$9,0),MATCH($BW$4,Lab_Mat!$K$5:$N$5,0))*$Q28*INDEX(Act_Type_Repex_Splits,MATCH($I28,Act_Type_Repex,0),MATCH(BV$4,Mat_Type,0))*INDEX(Escalators!$I$44:$U$49,MATCH(BV$4,Escalators!$C$44:$C$49,0),MATCH(BV$5,Escalators!$I$43:$U$43,0))</f>
        <v>0</v>
      </c>
      <c r="BW28" s="47">
        <f t="shared" si="47"/>
        <v>0</v>
      </c>
      <c r="BY28" s="47">
        <f>INDEX(Lab_Mat!$K$6:$N$9,MATCH($H28,Lab_Mat!$J$6:$J$9,0),MATCH($BY$4,Lab_Mat!$K$5:$N$5,0))*J28*HLOOKUP(BY$5,Escalators!$I$25:$U$30,6,FALSE)</f>
        <v>0</v>
      </c>
      <c r="BZ28" s="47">
        <f>INDEX(Lab_Mat!$K$6:$N$9,MATCH($H28,Lab_Mat!$J$6:$J$9,0),MATCH($BY$4,Lab_Mat!$K$5:$N$5,0))*K28*HLOOKUP(BZ$5,Escalators!$I$25:$U$30,6,FALSE)</f>
        <v>0</v>
      </c>
      <c r="CA28" s="47">
        <f>INDEX(Lab_Mat!$K$6:$N$9,MATCH($H28,Lab_Mat!$J$6:$J$9,0),MATCH($BY$4,Lab_Mat!$K$5:$N$5,0))*L28*HLOOKUP(CA$5,Escalators!$I$25:$U$30,6,FALSE)</f>
        <v>0</v>
      </c>
      <c r="CB28" s="47">
        <f>INDEX(Lab_Mat!$K$6:$N$9,MATCH($H28,Lab_Mat!$J$6:$J$9,0),MATCH($BY$4,Lab_Mat!$K$5:$N$5,0))*M28*HLOOKUP(CB$5,Escalators!$I$25:$U$30,6,FALSE)</f>
        <v>0</v>
      </c>
      <c r="CC28" s="47">
        <f>INDEX(Lab_Mat!$K$6:$N$9,MATCH($H28,Lab_Mat!$J$6:$J$9,0),MATCH($BY$4,Lab_Mat!$K$5:$N$5,0))*N28*HLOOKUP(CC$5,Escalators!$I$25:$U$30,6,FALSE)</f>
        <v>0</v>
      </c>
      <c r="CD28" s="47">
        <f>INDEX(Lab_Mat!$K$6:$N$9,MATCH($H28,Lab_Mat!$J$6:$J$9,0),MATCH($BY$4,Lab_Mat!$K$5:$N$5,0))*O28*HLOOKUP(CD$5,Escalators!$I$25:$U$30,6,FALSE)</f>
        <v>0</v>
      </c>
      <c r="CE28" s="47">
        <f>INDEX(Lab_Mat!$K$6:$N$9,MATCH($H28,Lab_Mat!$J$6:$J$9,0),MATCH($BY$4,Lab_Mat!$K$5:$N$5,0))*P28*HLOOKUP(CE$5,Escalators!$I$25:$U$30,6,FALSE)</f>
        <v>0</v>
      </c>
      <c r="CF28" s="47">
        <f>INDEX(Lab_Mat!$K$6:$N$9,MATCH($H28,Lab_Mat!$J$6:$J$9,0),MATCH($BY$4,Lab_Mat!$K$5:$N$5,0))*Q28*HLOOKUP(CF$5,Escalators!$I$25:$U$30,6,FALSE)</f>
        <v>0</v>
      </c>
      <c r="CH28" s="47">
        <f>INDEX(Lab_Mat!$K$6:$N$9,MATCH($H28,Lab_Mat!$J$6:$J$9,0),MATCH($CH$4,Lab_Mat!$K$5:$N$5,0))*J28</f>
        <v>0</v>
      </c>
      <c r="CI28" s="47">
        <f>INDEX(Lab_Mat!$K$6:$N$9,MATCH($H28,Lab_Mat!$J$6:$J$9,0),MATCH($CH$4,Lab_Mat!$K$5:$N$5,0))*K28</f>
        <v>0</v>
      </c>
      <c r="CJ28" s="47">
        <f>INDEX(Lab_Mat!$K$6:$N$9,MATCH($H28,Lab_Mat!$J$6:$J$9,0),MATCH($CH$4,Lab_Mat!$K$5:$N$5,0))*L28</f>
        <v>0</v>
      </c>
      <c r="CK28" s="47">
        <f>INDEX(Lab_Mat!$K$6:$N$9,MATCH($H28,Lab_Mat!$J$6:$J$9,0),MATCH($CH$4,Lab_Mat!$K$5:$N$5,0))*M28</f>
        <v>0</v>
      </c>
      <c r="CL28" s="47">
        <f>INDEX(Lab_Mat!$K$6:$N$9,MATCH($H28,Lab_Mat!$J$6:$J$9,0),MATCH($CH$4,Lab_Mat!$K$5:$N$5,0))*N28</f>
        <v>0</v>
      </c>
      <c r="CM28" s="47">
        <f>INDEX(Lab_Mat!$K$6:$N$9,MATCH($H28,Lab_Mat!$J$6:$J$9,0),MATCH($CH$4,Lab_Mat!$K$5:$N$5,0))*O28</f>
        <v>0</v>
      </c>
      <c r="CN28" s="47">
        <f>INDEX(Lab_Mat!$K$6:$N$9,MATCH($H28,Lab_Mat!$J$6:$J$9,0),MATCH($CH$4,Lab_Mat!$K$5:$N$5,0))*P28</f>
        <v>0</v>
      </c>
      <c r="CO28" s="47">
        <f>INDEX(Lab_Mat!$K$6:$N$9,MATCH($H28,Lab_Mat!$J$6:$J$9,0),MATCH($CH$4,Lab_Mat!$K$5:$N$5,0))*Q28</f>
        <v>0</v>
      </c>
      <c r="CQ28" s="47">
        <f t="shared" si="24"/>
        <v>0</v>
      </c>
      <c r="CR28" s="47">
        <f t="shared" si="25"/>
        <v>0</v>
      </c>
      <c r="CS28" s="47">
        <f t="shared" si="26"/>
        <v>0</v>
      </c>
      <c r="CT28" s="47">
        <f t="shared" si="27"/>
        <v>0</v>
      </c>
      <c r="CU28" s="47">
        <f t="shared" si="28"/>
        <v>0</v>
      </c>
      <c r="CV28" s="47">
        <f t="shared" si="29"/>
        <v>0</v>
      </c>
      <c r="CW28" s="47">
        <f t="shared" si="30"/>
        <v>0</v>
      </c>
      <c r="CX28" s="47">
        <f t="shared" si="31"/>
        <v>0</v>
      </c>
    </row>
    <row r="29" spans="2:109" x14ac:dyDescent="0.3">
      <c r="B29" s="7"/>
      <c r="C29" s="7" t="s">
        <v>578</v>
      </c>
      <c r="D29" s="7" t="s">
        <v>408</v>
      </c>
      <c r="E29" s="7" t="s">
        <v>397</v>
      </c>
      <c r="F29" s="7" t="s">
        <v>55</v>
      </c>
      <c r="G29" s="7" t="s">
        <v>34</v>
      </c>
      <c r="H29" s="7" t="s">
        <v>750</v>
      </c>
      <c r="I29" s="7" t="s">
        <v>5</v>
      </c>
      <c r="J29" s="45"/>
      <c r="K29" s="45"/>
      <c r="L29" s="45"/>
      <c r="M29" s="45">
        <v>32.342179828628524</v>
      </c>
      <c r="N29" s="45">
        <v>13.124362829008676</v>
      </c>
      <c r="O29" s="45">
        <v>0</v>
      </c>
      <c r="P29" s="45"/>
      <c r="Q29" s="45"/>
      <c r="S29" s="47">
        <f>INDEX(Lab_Mat!$K$6:$N$9,MATCH($H29,Lab_Mat!$J$6:$J$9,0),MATCH($S$4,Lab_Mat!$K$5:$N$5,0))*J29*HLOOKUP(S$5,Escalators!$I$25:$U$30,3,FALSE)</f>
        <v>0</v>
      </c>
      <c r="T29" s="47">
        <f>INDEX(Lab_Mat!$K$6:$N$9,MATCH($H29,Lab_Mat!$J$6:$J$9,0),MATCH($S$4,Lab_Mat!$K$5:$N$5,0))*K29*HLOOKUP(T$5,Escalators!$I$25:$U$30,3,FALSE)</f>
        <v>0</v>
      </c>
      <c r="U29" s="47">
        <f>INDEX(Lab_Mat!$K$6:$N$9,MATCH($H29,Lab_Mat!$J$6:$J$9,0),MATCH($S$4,Lab_Mat!$K$5:$N$5,0))*L29*HLOOKUP(U$5,Escalators!$I$25:$U$30,3,FALSE)</f>
        <v>0</v>
      </c>
      <c r="V29" s="47">
        <f>INDEX(Lab_Mat!$K$6:$N$9,MATCH($H29,Lab_Mat!$J$6:$J$9,0),MATCH($S$4,Lab_Mat!$K$5:$N$5,0))*M29*HLOOKUP(V$5,Escalators!$I$25:$U$30,3,FALSE)</f>
        <v>6.1442091337130034</v>
      </c>
      <c r="W29" s="47">
        <f>INDEX(Lab_Mat!$K$6:$N$9,MATCH($H29,Lab_Mat!$J$6:$J$9,0),MATCH($S$4,Lab_Mat!$K$5:$N$5,0))*N29*HLOOKUP(W$5,Escalators!$I$25:$U$30,3,FALSE)</f>
        <v>2.5188839428603464</v>
      </c>
      <c r="X29" s="47">
        <f>INDEX(Lab_Mat!$K$6:$N$9,MATCH($H29,Lab_Mat!$J$6:$J$9,0),MATCH($S$4,Lab_Mat!$K$5:$N$5,0))*O29*HLOOKUP(X$5,Escalators!$I$25:$U$30,3,FALSE)</f>
        <v>0</v>
      </c>
      <c r="Y29" s="47">
        <f>INDEX(Lab_Mat!$K$6:$N$9,MATCH($H29,Lab_Mat!$J$6:$J$9,0),MATCH($S$4,Lab_Mat!$K$5:$N$5,0))*P29*HLOOKUP(Y$5,Escalators!$I$25:$U$30,3,FALSE)</f>
        <v>0</v>
      </c>
      <c r="Z29" s="47">
        <f>INDEX(Lab_Mat!$K$6:$N$9,MATCH($H29,Lab_Mat!$J$6:$J$9,0),MATCH($S$4,Lab_Mat!$K$5:$N$5,0))*Q29*HLOOKUP(Z$5,Escalators!$I$25:$U$30,3,FALSE)</f>
        <v>0</v>
      </c>
      <c r="AB29" s="47">
        <f>INDEX(Lab_Mat!$K$6:$N$9,MATCH($H29,Lab_Mat!$J$6:$J$9,0),MATCH($AG$4,Lab_Mat!$K$5:$N$5,0))*$J29*INDEX(Act_Type_Repex_Splits,MATCH($I29,Act_Type_Repex,0),MATCH(AB$4,Mat_Type,0))*INDEX(Escalators!$I$44:$Q$49,MATCH(AB$4,Escalators!$C$44:$C$49,0),MATCH(AB$5,Escalators!$I$43:$Q$43,0))</f>
        <v>0</v>
      </c>
      <c r="AC29" s="47">
        <f>INDEX(Lab_Mat!$K$6:$N$9,MATCH($H29,Lab_Mat!$J$6:$J$9,0),MATCH($AG$4,Lab_Mat!$K$5:$N$5,0))*$J29*INDEX(Act_Type_Repex_Splits,MATCH($I29,Act_Type_Repex,0),MATCH(AC$4,Mat_Type,0))*INDEX(Escalators!$I$44:$Q$49,MATCH(AC$4,Escalators!$C$44:$C$49,0),MATCH(AC$5,Escalators!$I$43:$Q$43,0))</f>
        <v>0</v>
      </c>
      <c r="AD29" s="47">
        <f>INDEX(Lab_Mat!$K$6:$N$9,MATCH($H29,Lab_Mat!$J$6:$J$9,0),MATCH($AG$4,Lab_Mat!$K$5:$N$5,0))*$J29*INDEX(Act_Type_Repex_Splits,MATCH($I29,Act_Type_Repex,0),MATCH(AD$4,Mat_Type,0))*INDEX(Escalators!$I$44:$Q$49,MATCH(AD$4,Escalators!$C$44:$C$49,0),MATCH(AD$5,Escalators!$I$43:$Q$43,0))</f>
        <v>0</v>
      </c>
      <c r="AE29" s="47">
        <f>INDEX(Lab_Mat!$K$6:$N$9,MATCH($H29,Lab_Mat!$J$6:$J$9,0),MATCH($AG$4,Lab_Mat!$K$5:$N$5,0))*$J29*INDEX(Act_Type_Repex_Splits,MATCH($I29,Act_Type_Repex,0),MATCH(AE$4,Mat_Type,0))*INDEX(Escalators!$I$44:$Q$49,MATCH(AE$4,Escalators!$C$44:$C$49,0),MATCH(AE$5,Escalators!$I$43:$Q$43,0))</f>
        <v>0</v>
      </c>
      <c r="AF29" s="47">
        <f>INDEX(Lab_Mat!$K$6:$N$9,MATCH($H29,Lab_Mat!$J$6:$J$9,0),MATCH($AG$4,Lab_Mat!$K$5:$N$5,0))*$J29*INDEX(Act_Type_Repex_Splits,MATCH($I29,Act_Type_Repex,0),MATCH(AF$4,Mat_Type,0))*INDEX(Escalators!$I$44:$Q$49,MATCH(AF$4,Escalators!$C$44:$C$49,0),MATCH(AF$5,Escalators!$I$43:$Q$43,0))</f>
        <v>0</v>
      </c>
      <c r="AG29" s="47">
        <f t="shared" si="40"/>
        <v>0</v>
      </c>
      <c r="AH29" s="47">
        <f>INDEX(Lab_Mat!$K$6:$N$9,MATCH($H29,Lab_Mat!$J$6:$J$9,0),MATCH($AY$4,Lab_Mat!$K$5:$N$5,0))*$K29*INDEX(Act_Type_Repex_Splits,MATCH($I29,Act_Type_Repex,0),MATCH(AH$4,Mat_Type,0))*INDEX(Escalators!$I$44:$U$49,MATCH(AH$4,Escalators!$C$44:$C$49,0),MATCH(AH$5,Escalators!$I$43:$U$43,0))</f>
        <v>0</v>
      </c>
      <c r="AI29" s="47">
        <f>INDEX(Lab_Mat!$K$6:$N$9,MATCH($H29,Lab_Mat!$J$6:$J$9,0),MATCH($AY$4,Lab_Mat!$K$5:$N$5,0))*$K29*INDEX(Act_Type_Repex_Splits,MATCH($I29,Act_Type_Repex,0),MATCH(AI$4,Mat_Type,0))*INDEX(Escalators!$I$44:$U$49,MATCH(AI$4,Escalators!$C$44:$C$49,0),MATCH(AI$5,Escalators!$I$43:$U$43,0))</f>
        <v>0</v>
      </c>
      <c r="AJ29" s="47">
        <f>INDEX(Lab_Mat!$K$6:$N$9,MATCH($H29,Lab_Mat!$J$6:$J$9,0),MATCH($AY$4,Lab_Mat!$K$5:$N$5,0))*$K29*INDEX(Act_Type_Repex_Splits,MATCH($I29,Act_Type_Repex,0),MATCH(AJ$4,Mat_Type,0))*INDEX(Escalators!$I$44:$U$49,MATCH(AJ$4,Escalators!$C$44:$C$49,0),MATCH(AJ$5,Escalators!$I$43:$U$43,0))</f>
        <v>0</v>
      </c>
      <c r="AK29" s="47">
        <f>INDEX(Lab_Mat!$K$6:$N$9,MATCH($H29,Lab_Mat!$J$6:$J$9,0),MATCH($AY$4,Lab_Mat!$K$5:$N$5,0))*$K29*INDEX(Act_Type_Repex_Splits,MATCH($I29,Act_Type_Repex,0),MATCH(AK$4,Mat_Type,0))*INDEX(Escalators!$I$44:$U$49,MATCH(AK$4,Escalators!$C$44:$C$49,0),MATCH(AK$5,Escalators!$I$43:$U$43,0))</f>
        <v>0</v>
      </c>
      <c r="AL29" s="47">
        <f>INDEX(Lab_Mat!$K$6:$N$9,MATCH($H29,Lab_Mat!$J$6:$J$9,0),MATCH($AY$4,Lab_Mat!$K$5:$N$5,0))*$K29*INDEX(Act_Type_Repex_Splits,MATCH($I29,Act_Type_Repex,0),MATCH(AL$4,Mat_Type,0))*INDEX(Escalators!$I$44:$U$49,MATCH(AL$4,Escalators!$C$44:$C$49,0),MATCH(AL$5,Escalators!$I$43:$U$43,0))</f>
        <v>0</v>
      </c>
      <c r="AM29" s="47">
        <f t="shared" si="41"/>
        <v>0</v>
      </c>
      <c r="AN29" s="47">
        <f>INDEX(Lab_Mat!$K$6:$N$9,MATCH($H29,Lab_Mat!$J$6:$J$9,0),MATCH($AY$4,Lab_Mat!$K$5:$N$5,0))*$L29*INDEX(Act_Type_Repex_Splits,MATCH($I29,Act_Type_Repex,0),MATCH(AN$4,Mat_Type,0))*INDEX(Escalators!$I$44:$U$49,MATCH(AN$4,Escalators!$C$44:$C$49,0),MATCH(AN$5,Escalators!$I$43:$U$43,0))</f>
        <v>0</v>
      </c>
      <c r="AO29" s="47">
        <f>INDEX(Lab_Mat!$K$6:$N$9,MATCH($H29,Lab_Mat!$J$6:$J$9,0),MATCH($AY$4,Lab_Mat!$K$5:$N$5,0))*$L29*INDEX(Act_Type_Repex_Splits,MATCH($I29,Act_Type_Repex,0),MATCH(AO$4,Mat_Type,0))*INDEX(Escalators!$I$44:$U$49,MATCH(AO$4,Escalators!$C$44:$C$49,0),MATCH(AO$5,Escalators!$I$43:$U$43,0))</f>
        <v>0</v>
      </c>
      <c r="AP29" s="47">
        <f>INDEX(Lab_Mat!$K$6:$N$9,MATCH($H29,Lab_Mat!$J$6:$J$9,0),MATCH($AY$4,Lab_Mat!$K$5:$N$5,0))*$L29*INDEX(Act_Type_Repex_Splits,MATCH($I29,Act_Type_Repex,0),MATCH(AP$4,Mat_Type,0))*INDEX(Escalators!$I$44:$U$49,MATCH(AP$4,Escalators!$C$44:$C$49,0),MATCH(AP$5,Escalators!$I$43:$U$43,0))</f>
        <v>0</v>
      </c>
      <c r="AQ29" s="47">
        <f>INDEX(Lab_Mat!$K$6:$N$9,MATCH($H29,Lab_Mat!$J$6:$J$9,0),MATCH($AY$4,Lab_Mat!$K$5:$N$5,0))*$L29*INDEX(Act_Type_Repex_Splits,MATCH($I29,Act_Type_Repex,0),MATCH(AQ$4,Mat_Type,0))*INDEX(Escalators!$I$44:$U$49,MATCH(AQ$4,Escalators!$C$44:$C$49,0),MATCH(AQ$5,Escalators!$I$43:$U$43,0))</f>
        <v>0</v>
      </c>
      <c r="AR29" s="47">
        <f>INDEX(Lab_Mat!$K$6:$N$9,MATCH($H29,Lab_Mat!$J$6:$J$9,0),MATCH($AY$4,Lab_Mat!$K$5:$N$5,0))*$L29*INDEX(Act_Type_Repex_Splits,MATCH($I29,Act_Type_Repex,0),MATCH(AR$4,Mat_Type,0))*INDEX(Escalators!$I$44:$U$49,MATCH(AR$4,Escalators!$C$44:$C$49,0),MATCH(AR$5,Escalators!$I$43:$U$43,0))</f>
        <v>0</v>
      </c>
      <c r="AS29" s="47">
        <f t="shared" si="42"/>
        <v>0</v>
      </c>
      <c r="AT29" s="47">
        <f>INDEX(Lab_Mat!$K$6:$N$9,MATCH($H29,Lab_Mat!$J$6:$J$9,0),MATCH($AY$4,Lab_Mat!$K$5:$N$5,0))*$M29*INDEX(Act_Type_Repex_Splits,MATCH($I29,Act_Type_Repex,0),MATCH(AT$4,Mat_Type,0))*INDEX(Escalators!$I$44:$U$49,MATCH(AT$4,Escalators!$C$44:$C$49,0),MATCH(AT$5,Escalators!$I$43:$U$43,0))</f>
        <v>1.7509052376540273</v>
      </c>
      <c r="AU29" s="47">
        <f>INDEX(Lab_Mat!$K$6:$N$9,MATCH($H29,Lab_Mat!$J$6:$J$9,0),MATCH($AY$4,Lab_Mat!$K$5:$N$5,0))*$M29*INDEX(Act_Type_Repex_Splits,MATCH($I29,Act_Type_Repex,0),MATCH(AU$4,Mat_Type,0))*INDEX(Escalators!$I$44:$U$49,MATCH(AU$4,Escalators!$C$44:$C$49,0),MATCH(AU$5,Escalators!$I$43:$U$43,0))</f>
        <v>1.7509052376540273</v>
      </c>
      <c r="AV29" s="47">
        <f>INDEX(Lab_Mat!$K$6:$N$9,MATCH($H29,Lab_Mat!$J$6:$J$9,0),MATCH($AY$4,Lab_Mat!$K$5:$N$5,0))*$M29*INDEX(Act_Type_Repex_Splits,MATCH($I29,Act_Type_Repex,0),MATCH(AV$4,Mat_Type,0))*INDEX(Escalators!$I$44:$U$49,MATCH(AV$4,Escalators!$C$44:$C$49,0),MATCH(AV$5,Escalators!$I$43:$U$43,0))</f>
        <v>1.7509052376540273</v>
      </c>
      <c r="AW29" s="47">
        <f>INDEX(Lab_Mat!$K$6:$N$9,MATCH($H29,Lab_Mat!$J$6:$J$9,0),MATCH($AY$4,Lab_Mat!$K$5:$N$5,0))*$M29*INDEX(Act_Type_Repex_Splits,MATCH($I29,Act_Type_Repex,0),MATCH(AW$4,Mat_Type,0))*INDEX(Escalators!$I$44:$U$49,MATCH(AW$4,Escalators!$C$44:$C$49,0),MATCH(AW$5,Escalators!$I$43:$U$43,0))</f>
        <v>0</v>
      </c>
      <c r="AX29" s="47">
        <f>INDEX(Lab_Mat!$K$6:$N$9,MATCH($H29,Lab_Mat!$J$6:$J$9,0),MATCH($AY$4,Lab_Mat!$K$5:$N$5,0))*$M29*INDEX(Act_Type_Repex_Splits,MATCH($I29,Act_Type_Repex,0),MATCH(AX$4,Mat_Type,0))*INDEX(Escalators!$I$44:$U$49,MATCH(AX$4,Escalators!$C$44:$C$49,0),MATCH(AX$5,Escalators!$I$43:$U$43,0))</f>
        <v>12.256336663578189</v>
      </c>
      <c r="AY29" s="47">
        <f t="shared" si="43"/>
        <v>17.509052376540271</v>
      </c>
      <c r="AZ29" s="47">
        <f>INDEX(Lab_Mat!$K$6:$N$9,MATCH($H29,Lab_Mat!$J$6:$J$9,0),MATCH($BE$4,Lab_Mat!$K$5:$N$5,0))*$N29*INDEX(Act_Type_Repex_Splits,MATCH($I29,Act_Type_Repex,0),MATCH(AZ$4,Mat_Type,0))*INDEX(Escalators!$I$44:$U$49,MATCH(AZ$4,Escalators!$C$44:$C$49,0),MATCH(AZ$5,Escalators!$I$43:$U$43,0))</f>
        <v>0.71051227035235898</v>
      </c>
      <c r="BA29" s="47">
        <f>INDEX(Lab_Mat!$K$6:$N$9,MATCH($H29,Lab_Mat!$J$6:$J$9,0),MATCH($BE$4,Lab_Mat!$K$5:$N$5,0))*$N29*INDEX(Act_Type_Repex_Splits,MATCH($I29,Act_Type_Repex,0),MATCH(BA$4,Mat_Type,0))*INDEX(Escalators!$I$44:$U$49,MATCH(BA$4,Escalators!$C$44:$C$49,0),MATCH(BA$5,Escalators!$I$43:$U$43,0))</f>
        <v>0.71051227035235898</v>
      </c>
      <c r="BB29" s="47">
        <f>INDEX(Lab_Mat!$K$6:$N$9,MATCH($H29,Lab_Mat!$J$6:$J$9,0),MATCH($BE$4,Lab_Mat!$K$5:$N$5,0))*$N29*INDEX(Act_Type_Repex_Splits,MATCH($I29,Act_Type_Repex,0),MATCH(BB$4,Mat_Type,0))*INDEX(Escalators!$I$44:$U$49,MATCH(BB$4,Escalators!$C$44:$C$49,0),MATCH(BB$5,Escalators!$I$43:$U$43,0))</f>
        <v>0.71051227035235898</v>
      </c>
      <c r="BC29" s="47">
        <f>INDEX(Lab_Mat!$K$6:$N$9,MATCH($H29,Lab_Mat!$J$6:$J$9,0),MATCH($BE$4,Lab_Mat!$K$5:$N$5,0))*$N29*INDEX(Act_Type_Repex_Splits,MATCH($I29,Act_Type_Repex,0),MATCH(BC$4,Mat_Type,0))*INDEX(Escalators!$I$44:$U$49,MATCH(BC$4,Escalators!$C$44:$C$49,0),MATCH(BC$5,Escalators!$I$43:$U$43,0))</f>
        <v>0</v>
      </c>
      <c r="BD29" s="47">
        <f>INDEX(Lab_Mat!$K$6:$N$9,MATCH($H29,Lab_Mat!$J$6:$J$9,0),MATCH($BE$4,Lab_Mat!$K$5:$N$5,0))*$N29*INDEX(Act_Type_Repex_Splits,MATCH($I29,Act_Type_Repex,0),MATCH(BD$4,Mat_Type,0))*INDEX(Escalators!$I$44:$U$49,MATCH(BD$4,Escalators!$C$44:$C$49,0),MATCH(BD$5,Escalators!$I$43:$U$43,0))</f>
        <v>4.9735858924665122</v>
      </c>
      <c r="BE29" s="47">
        <f t="shared" si="44"/>
        <v>7.1051227035235893</v>
      </c>
      <c r="BF29" s="47">
        <f>INDEX(Lab_Mat!$K$6:$N$9,MATCH($H29,Lab_Mat!$J$6:$J$9,0),MATCH($BK$4,Lab_Mat!$K$5:$N$5,0))*$O29*INDEX(Act_Type_Repex_Splits,MATCH($I29,Act_Type_Repex,0),MATCH(BF$4,Mat_Type,0))*INDEX(Escalators!$I$44:$U$49,MATCH(BF$4,Escalators!$C$44:$C$49,0),MATCH(BF$5,Escalators!$I$43:$U$43,0))</f>
        <v>0</v>
      </c>
      <c r="BG29" s="47">
        <f>INDEX(Lab_Mat!$K$6:$N$9,MATCH($H29,Lab_Mat!$J$6:$J$9,0),MATCH($BK$4,Lab_Mat!$K$5:$N$5,0))*$O29*INDEX(Act_Type_Repex_Splits,MATCH($I29,Act_Type_Repex,0),MATCH(BG$4,Mat_Type,0))*INDEX(Escalators!$I$44:$U$49,MATCH(BG$4,Escalators!$C$44:$C$49,0),MATCH(BG$5,Escalators!$I$43:$U$43,0))</f>
        <v>0</v>
      </c>
      <c r="BH29" s="47">
        <f>INDEX(Lab_Mat!$K$6:$N$9,MATCH($H29,Lab_Mat!$J$6:$J$9,0),MATCH($BK$4,Lab_Mat!$K$5:$N$5,0))*$O29*INDEX(Act_Type_Repex_Splits,MATCH($I29,Act_Type_Repex,0),MATCH(BH$4,Mat_Type,0))*INDEX(Escalators!$I$44:$U$49,MATCH(BH$4,Escalators!$C$44:$C$49,0),MATCH(BH$5,Escalators!$I$43:$U$43,0))</f>
        <v>0</v>
      </c>
      <c r="BI29" s="47">
        <f>INDEX(Lab_Mat!$K$6:$N$9,MATCH($H29,Lab_Mat!$J$6:$J$9,0),MATCH($BK$4,Lab_Mat!$K$5:$N$5,0))*$O29*INDEX(Act_Type_Repex_Splits,MATCH($I29,Act_Type_Repex,0),MATCH(BI$4,Mat_Type,0))*INDEX(Escalators!$I$44:$U$49,MATCH(BI$4,Escalators!$C$44:$C$49,0),MATCH(BI$5,Escalators!$I$43:$U$43,0))</f>
        <v>0</v>
      </c>
      <c r="BJ29" s="47">
        <f>INDEX(Lab_Mat!$K$6:$N$9,MATCH($H29,Lab_Mat!$J$6:$J$9,0),MATCH($BK$4,Lab_Mat!$K$5:$N$5,0))*$O29*INDEX(Act_Type_Repex_Splits,MATCH($I29,Act_Type_Repex,0),MATCH(BJ$4,Mat_Type,0))*INDEX(Escalators!$I$44:$U$49,MATCH(BJ$4,Escalators!$C$44:$C$49,0),MATCH(BJ$5,Escalators!$I$43:$U$43,0))</f>
        <v>0</v>
      </c>
      <c r="BK29" s="47">
        <f t="shared" si="45"/>
        <v>0</v>
      </c>
      <c r="BL29" s="47">
        <f>INDEX(Lab_Mat!$K$6:$N$9,MATCH($H29,Lab_Mat!$J$6:$J$9,0),MATCH($BQ$4,Lab_Mat!$K$5:$N$5,0))*$P29*INDEX(Act_Type_Repex_Splits,MATCH($I29,Act_Type_Repex,0),MATCH(BL$4,Mat_Type,0))*INDEX(Escalators!$I$44:$U$49,MATCH(BL$4,Escalators!$C$44:$C$49,0),MATCH(BL$5,Escalators!$I$43:$U$43,0))</f>
        <v>0</v>
      </c>
      <c r="BM29" s="47">
        <f>INDEX(Lab_Mat!$K$6:$N$9,MATCH($H29,Lab_Mat!$J$6:$J$9,0),MATCH($BQ$4,Lab_Mat!$K$5:$N$5,0))*$P29*INDEX(Act_Type_Repex_Splits,MATCH($I29,Act_Type_Repex,0),MATCH(BM$4,Mat_Type,0))*INDEX(Escalators!$I$44:$U$49,MATCH(BM$4,Escalators!$C$44:$C$49,0),MATCH(BM$5,Escalators!$I$43:$U$43,0))</f>
        <v>0</v>
      </c>
      <c r="BN29" s="47">
        <f>INDEX(Lab_Mat!$K$6:$N$9,MATCH($H29,Lab_Mat!$J$6:$J$9,0),MATCH($BQ$4,Lab_Mat!$K$5:$N$5,0))*$P29*INDEX(Act_Type_Repex_Splits,MATCH($I29,Act_Type_Repex,0),MATCH(BN$4,Mat_Type,0))*INDEX(Escalators!$I$44:$U$49,MATCH(BN$4,Escalators!$C$44:$C$49,0),MATCH(BN$5,Escalators!$I$43:$U$43,0))</f>
        <v>0</v>
      </c>
      <c r="BO29" s="47">
        <f>INDEX(Lab_Mat!$K$6:$N$9,MATCH($H29,Lab_Mat!$J$6:$J$9,0),MATCH($BQ$4,Lab_Mat!$K$5:$N$5,0))*$P29*INDEX(Act_Type_Repex_Splits,MATCH($I29,Act_Type_Repex,0),MATCH(BO$4,Mat_Type,0))*INDEX(Escalators!$I$44:$U$49,MATCH(BO$4,Escalators!$C$44:$C$49,0),MATCH(BO$5,Escalators!$I$43:$U$43,0))</f>
        <v>0</v>
      </c>
      <c r="BP29" s="47">
        <f>INDEX(Lab_Mat!$K$6:$N$9,MATCH($H29,Lab_Mat!$J$6:$J$9,0),MATCH($BQ$4,Lab_Mat!$K$5:$N$5,0))*$P29*INDEX(Act_Type_Repex_Splits,MATCH($I29,Act_Type_Repex,0),MATCH(BP$4,Mat_Type,0))*INDEX(Escalators!$I$44:$U$49,MATCH(BP$4,Escalators!$C$44:$C$49,0),MATCH(BP$5,Escalators!$I$43:$U$43,0))</f>
        <v>0</v>
      </c>
      <c r="BQ29" s="47">
        <f t="shared" si="46"/>
        <v>0</v>
      </c>
      <c r="BR29" s="47">
        <f>INDEX(Lab_Mat!$K$6:$N$9,MATCH($H29,Lab_Mat!$J$6:$J$9,0),MATCH($BW$4,Lab_Mat!$K$5:$N$5,0))*$Q29*INDEX(Act_Type_Repex_Splits,MATCH($I29,Act_Type_Repex,0),MATCH(BR$4,Mat_Type,0))*INDEX(Escalators!$I$44:$U$49,MATCH(BR$4,Escalators!$C$44:$C$49,0),MATCH(BR$5,Escalators!$I$43:$U$43,0))</f>
        <v>0</v>
      </c>
      <c r="BS29" s="47">
        <f>INDEX(Lab_Mat!$K$6:$N$9,MATCH($H29,Lab_Mat!$J$6:$J$9,0),MATCH($BW$4,Lab_Mat!$K$5:$N$5,0))*$Q29*INDEX(Act_Type_Repex_Splits,MATCH($I29,Act_Type_Repex,0),MATCH(BS$4,Mat_Type,0))*INDEX(Escalators!$I$44:$U$49,MATCH(BS$4,Escalators!$C$44:$C$49,0),MATCH(BS$5,Escalators!$I$43:$U$43,0))</f>
        <v>0</v>
      </c>
      <c r="BT29" s="47">
        <f>INDEX(Lab_Mat!$K$6:$N$9,MATCH($H29,Lab_Mat!$J$6:$J$9,0),MATCH($BW$4,Lab_Mat!$K$5:$N$5,0))*$Q29*INDEX(Act_Type_Repex_Splits,MATCH($I29,Act_Type_Repex,0),MATCH(BT$4,Mat_Type,0))*INDEX(Escalators!$I$44:$U$49,MATCH(BT$4,Escalators!$C$44:$C$49,0),MATCH(BT$5,Escalators!$I$43:$U$43,0))</f>
        <v>0</v>
      </c>
      <c r="BU29" s="47">
        <f>INDEX(Lab_Mat!$K$6:$N$9,MATCH($H29,Lab_Mat!$J$6:$J$9,0),MATCH($BW$4,Lab_Mat!$K$5:$N$5,0))*$Q29*INDEX(Act_Type_Repex_Splits,MATCH($I29,Act_Type_Repex,0),MATCH(BU$4,Mat_Type,0))*INDEX(Escalators!$I$44:$U$49,MATCH(BU$4,Escalators!$C$44:$C$49,0),MATCH(BU$5,Escalators!$I$43:$U$43,0))</f>
        <v>0</v>
      </c>
      <c r="BV29" s="47">
        <f>INDEX(Lab_Mat!$K$6:$N$9,MATCH($H29,Lab_Mat!$J$6:$J$9,0),MATCH($BW$4,Lab_Mat!$K$5:$N$5,0))*$Q29*INDEX(Act_Type_Repex_Splits,MATCH($I29,Act_Type_Repex,0),MATCH(BV$4,Mat_Type,0))*INDEX(Escalators!$I$44:$U$49,MATCH(BV$4,Escalators!$C$44:$C$49,0),MATCH(BV$5,Escalators!$I$43:$U$43,0))</f>
        <v>0</v>
      </c>
      <c r="BW29" s="47">
        <f t="shared" si="47"/>
        <v>0</v>
      </c>
      <c r="BY29" s="47">
        <f>INDEX(Lab_Mat!$K$6:$N$9,MATCH($H29,Lab_Mat!$J$6:$J$9,0),MATCH($BY$4,Lab_Mat!$K$5:$N$5,0))*J29*HLOOKUP(BY$5,Escalators!$I$25:$U$30,6,FALSE)</f>
        <v>0</v>
      </c>
      <c r="BZ29" s="47">
        <f>INDEX(Lab_Mat!$K$6:$N$9,MATCH($H29,Lab_Mat!$J$6:$J$9,0),MATCH($BY$4,Lab_Mat!$K$5:$N$5,0))*K29*HLOOKUP(BZ$5,Escalators!$I$25:$U$30,6,FALSE)</f>
        <v>0</v>
      </c>
      <c r="CA29" s="47">
        <f>INDEX(Lab_Mat!$K$6:$N$9,MATCH($H29,Lab_Mat!$J$6:$J$9,0),MATCH($BY$4,Lab_Mat!$K$5:$N$5,0))*L29*HLOOKUP(CA$5,Escalators!$I$25:$U$30,6,FALSE)</f>
        <v>0</v>
      </c>
      <c r="CB29" s="47">
        <f>INDEX(Lab_Mat!$K$6:$N$9,MATCH($H29,Lab_Mat!$J$6:$J$9,0),MATCH($BY$4,Lab_Mat!$K$5:$N$5,0))*M29*HLOOKUP(CB$5,Escalators!$I$25:$U$30,6,FALSE)</f>
        <v>6.5667980126080954</v>
      </c>
      <c r="CC29" s="47">
        <f>INDEX(Lab_Mat!$K$6:$N$9,MATCH($H29,Lab_Mat!$J$6:$J$9,0),MATCH($BY$4,Lab_Mat!$K$5:$N$5,0))*N29*HLOOKUP(CC$5,Escalators!$I$25:$U$30,6,FALSE)</f>
        <v>2.6921287524550586</v>
      </c>
      <c r="CD29" s="47">
        <f>INDEX(Lab_Mat!$K$6:$N$9,MATCH($H29,Lab_Mat!$J$6:$J$9,0),MATCH($BY$4,Lab_Mat!$K$5:$N$5,0))*O29*HLOOKUP(CD$5,Escalators!$I$25:$U$30,6,FALSE)</f>
        <v>0</v>
      </c>
      <c r="CE29" s="47">
        <f>INDEX(Lab_Mat!$K$6:$N$9,MATCH($H29,Lab_Mat!$J$6:$J$9,0),MATCH($BY$4,Lab_Mat!$K$5:$N$5,0))*P29*HLOOKUP(CE$5,Escalators!$I$25:$U$30,6,FALSE)</f>
        <v>0</v>
      </c>
      <c r="CF29" s="47">
        <f>INDEX(Lab_Mat!$K$6:$N$9,MATCH($H29,Lab_Mat!$J$6:$J$9,0),MATCH($BY$4,Lab_Mat!$K$5:$N$5,0))*Q29*HLOOKUP(CF$5,Escalators!$I$25:$U$30,6,FALSE)</f>
        <v>0</v>
      </c>
      <c r="CH29" s="47">
        <f>INDEX(Lab_Mat!$K$6:$N$9,MATCH($H29,Lab_Mat!$J$6:$J$9,0),MATCH($CH$4,Lab_Mat!$K$5:$N$5,0))*J29</f>
        <v>0</v>
      </c>
      <c r="CI29" s="47">
        <f>INDEX(Lab_Mat!$K$6:$N$9,MATCH($H29,Lab_Mat!$J$6:$J$9,0),MATCH($CH$4,Lab_Mat!$K$5:$N$5,0))*K29</f>
        <v>0</v>
      </c>
      <c r="CJ29" s="47">
        <f>INDEX(Lab_Mat!$K$6:$N$9,MATCH($H29,Lab_Mat!$J$6:$J$9,0),MATCH($CH$4,Lab_Mat!$K$5:$N$5,0))*L29</f>
        <v>0</v>
      </c>
      <c r="CK29" s="47">
        <f>INDEX(Lab_Mat!$K$6:$N$9,MATCH($H29,Lab_Mat!$J$6:$J$9,0),MATCH($CH$4,Lab_Mat!$K$5:$N$5,0))*M29</f>
        <v>2.528365962376645</v>
      </c>
      <c r="CL29" s="47">
        <f>INDEX(Lab_Mat!$K$6:$N$9,MATCH($H29,Lab_Mat!$J$6:$J$9,0),MATCH($CH$4,Lab_Mat!$K$5:$N$5,0))*N29</f>
        <v>1.02600357893545</v>
      </c>
      <c r="CM29" s="47">
        <f>INDEX(Lab_Mat!$K$6:$N$9,MATCH($H29,Lab_Mat!$J$6:$J$9,0),MATCH($CH$4,Lab_Mat!$K$5:$N$5,0))*O29</f>
        <v>0</v>
      </c>
      <c r="CN29" s="47">
        <f>INDEX(Lab_Mat!$K$6:$N$9,MATCH($H29,Lab_Mat!$J$6:$J$9,0),MATCH($CH$4,Lab_Mat!$K$5:$N$5,0))*P29</f>
        <v>0</v>
      </c>
      <c r="CO29" s="47">
        <f>INDEX(Lab_Mat!$K$6:$N$9,MATCH($H29,Lab_Mat!$J$6:$J$9,0),MATCH($CH$4,Lab_Mat!$K$5:$N$5,0))*Q29</f>
        <v>0</v>
      </c>
      <c r="CQ29" s="47">
        <f t="shared" si="24"/>
        <v>0</v>
      </c>
      <c r="CR29" s="47">
        <f t="shared" si="25"/>
        <v>0</v>
      </c>
      <c r="CS29" s="47">
        <f t="shared" si="26"/>
        <v>0</v>
      </c>
      <c r="CT29" s="47">
        <f t="shared" si="27"/>
        <v>32.748425485238016</v>
      </c>
      <c r="CU29" s="47">
        <f t="shared" si="28"/>
        <v>13.342138977774445</v>
      </c>
      <c r="CV29" s="47">
        <f t="shared" si="29"/>
        <v>0</v>
      </c>
      <c r="CW29" s="47">
        <f t="shared" si="30"/>
        <v>0</v>
      </c>
      <c r="CX29" s="47">
        <f t="shared" si="31"/>
        <v>0</v>
      </c>
    </row>
    <row r="30" spans="2:109" x14ac:dyDescent="0.3">
      <c r="B30" s="7"/>
      <c r="C30" s="257"/>
      <c r="D30" s="257"/>
      <c r="E30" s="7"/>
      <c r="F30" s="7"/>
      <c r="G30" s="7"/>
      <c r="H30" s="7"/>
      <c r="I30" s="7"/>
      <c r="J30" s="45"/>
      <c r="K30" s="45"/>
      <c r="L30" s="45"/>
      <c r="M30" s="45"/>
      <c r="N30" s="45"/>
      <c r="O30" s="45"/>
      <c r="P30" s="45"/>
      <c r="Q30" s="45"/>
      <c r="S30" s="47"/>
      <c r="T30" s="47"/>
      <c r="U30" s="47"/>
      <c r="V30" s="47"/>
      <c r="W30" s="47"/>
      <c r="X30" s="47"/>
      <c r="Y30" s="47"/>
      <c r="Z30" s="47"/>
      <c r="AB30" s="6"/>
      <c r="AC30" s="6"/>
      <c r="AD30" s="6"/>
      <c r="AE30" s="6"/>
      <c r="AF30" s="6"/>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Y30" s="47"/>
      <c r="BZ30" s="47"/>
      <c r="CA30" s="47"/>
      <c r="CB30" s="47"/>
      <c r="CC30" s="47"/>
      <c r="CD30" s="47"/>
      <c r="CE30" s="47"/>
      <c r="CF30" s="47"/>
      <c r="CH30" s="47"/>
      <c r="CI30" s="47"/>
      <c r="CJ30" s="47"/>
      <c r="CK30" s="47"/>
      <c r="CL30" s="47"/>
      <c r="CM30" s="47"/>
      <c r="CN30" s="47"/>
      <c r="CO30" s="47"/>
      <c r="CQ30" s="47"/>
      <c r="CR30" s="47"/>
      <c r="CS30" s="47"/>
      <c r="CT30" s="47"/>
      <c r="CU30" s="47"/>
      <c r="CV30" s="47"/>
      <c r="CW30" s="47"/>
      <c r="CX30" s="47"/>
      <c r="DE30" s="1" t="str">
        <f t="shared" si="8"/>
        <v/>
      </c>
    </row>
    <row r="31" spans="2:109" x14ac:dyDescent="0.3">
      <c r="B31" s="7"/>
      <c r="C31" s="257"/>
      <c r="D31" s="257"/>
      <c r="E31" s="7"/>
      <c r="F31" s="7"/>
      <c r="G31" s="7"/>
      <c r="H31" s="7"/>
      <c r="I31" s="7"/>
      <c r="J31" s="45"/>
      <c r="K31" s="45"/>
      <c r="L31" s="45"/>
      <c r="M31" s="45"/>
      <c r="N31" s="45"/>
      <c r="O31" s="45"/>
      <c r="P31" s="45"/>
      <c r="Q31" s="45"/>
      <c r="S31" s="47"/>
      <c r="T31" s="47"/>
      <c r="U31" s="47"/>
      <c r="V31" s="47"/>
      <c r="W31" s="47"/>
      <c r="X31" s="47"/>
      <c r="Y31" s="47"/>
      <c r="Z31" s="47"/>
      <c r="AB31" s="6"/>
      <c r="AC31" s="6"/>
      <c r="AD31" s="6"/>
      <c r="AE31" s="6"/>
      <c r="AF31" s="6"/>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Y31" s="47"/>
      <c r="BZ31" s="47"/>
      <c r="CA31" s="47"/>
      <c r="CB31" s="47"/>
      <c r="CC31" s="47"/>
      <c r="CD31" s="47"/>
      <c r="CE31" s="47"/>
      <c r="CF31" s="47"/>
      <c r="CH31" s="47"/>
      <c r="CI31" s="47"/>
      <c r="CJ31" s="47"/>
      <c r="CK31" s="47"/>
      <c r="CL31" s="47"/>
      <c r="CM31" s="47"/>
      <c r="CN31" s="47"/>
      <c r="CO31" s="47"/>
      <c r="CQ31" s="47"/>
      <c r="CR31" s="47"/>
      <c r="CS31" s="47"/>
      <c r="CT31" s="47"/>
      <c r="CU31" s="47"/>
      <c r="CV31" s="47"/>
      <c r="CW31" s="47"/>
      <c r="CX31" s="47"/>
      <c r="DE31" s="1" t="str">
        <f t="shared" si="8"/>
        <v/>
      </c>
    </row>
    <row r="32" spans="2:109" x14ac:dyDescent="0.3">
      <c r="B32" s="7"/>
      <c r="C32" s="257"/>
      <c r="D32" s="257"/>
      <c r="E32" s="7"/>
      <c r="F32" s="7"/>
      <c r="G32" s="7"/>
      <c r="H32" s="7"/>
      <c r="I32" s="7"/>
      <c r="J32" s="45"/>
      <c r="K32" s="45"/>
      <c r="L32" s="45"/>
      <c r="M32" s="45"/>
      <c r="N32" s="45"/>
      <c r="O32" s="45"/>
      <c r="P32" s="45"/>
      <c r="Q32" s="45"/>
      <c r="S32" s="47"/>
      <c r="T32" s="47"/>
      <c r="U32" s="47"/>
      <c r="V32" s="47"/>
      <c r="W32" s="47"/>
      <c r="X32" s="47"/>
      <c r="Y32" s="47"/>
      <c r="Z32" s="47"/>
      <c r="AB32" s="6"/>
      <c r="AC32" s="6"/>
      <c r="AD32" s="6"/>
      <c r="AE32" s="6"/>
      <c r="AF32" s="6"/>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Y32" s="47"/>
      <c r="BZ32" s="47"/>
      <c r="CA32" s="47"/>
      <c r="CB32" s="47"/>
      <c r="CC32" s="47"/>
      <c r="CD32" s="47"/>
      <c r="CE32" s="47"/>
      <c r="CF32" s="47"/>
      <c r="CH32" s="47"/>
      <c r="CI32" s="47"/>
      <c r="CJ32" s="47"/>
      <c r="CK32" s="47"/>
      <c r="CL32" s="47"/>
      <c r="CM32" s="47"/>
      <c r="CN32" s="47"/>
      <c r="CO32" s="47"/>
      <c r="CQ32" s="47"/>
      <c r="CR32" s="47"/>
      <c r="CS32" s="47"/>
      <c r="CT32" s="47"/>
      <c r="CU32" s="47"/>
      <c r="CV32" s="47"/>
      <c r="CW32" s="47"/>
      <c r="CX32" s="47"/>
      <c r="DE32" s="1" t="str">
        <f t="shared" si="8"/>
        <v/>
      </c>
    </row>
    <row r="33" spans="2:109" x14ac:dyDescent="0.3">
      <c r="B33" s="7"/>
      <c r="C33" s="257"/>
      <c r="D33" s="257"/>
      <c r="E33" s="7"/>
      <c r="F33" s="7"/>
      <c r="G33" s="7"/>
      <c r="H33" s="7"/>
      <c r="I33" s="7"/>
      <c r="J33" s="45"/>
      <c r="K33" s="45"/>
      <c r="L33" s="45"/>
      <c r="M33" s="45"/>
      <c r="N33" s="45"/>
      <c r="O33" s="45"/>
      <c r="P33" s="45"/>
      <c r="Q33" s="45"/>
      <c r="S33" s="47"/>
      <c r="T33" s="47"/>
      <c r="U33" s="47"/>
      <c r="V33" s="47"/>
      <c r="W33" s="47"/>
      <c r="X33" s="47"/>
      <c r="Y33" s="47"/>
      <c r="Z33" s="47"/>
      <c r="AB33" s="6"/>
      <c r="AC33" s="6"/>
      <c r="AD33" s="6"/>
      <c r="AE33" s="6"/>
      <c r="AF33" s="6"/>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Y33" s="47"/>
      <c r="BZ33" s="47"/>
      <c r="CA33" s="47"/>
      <c r="CB33" s="47"/>
      <c r="CC33" s="47"/>
      <c r="CD33" s="47"/>
      <c r="CE33" s="47"/>
      <c r="CF33" s="47"/>
      <c r="CH33" s="47"/>
      <c r="CI33" s="47"/>
      <c r="CJ33" s="47"/>
      <c r="CK33" s="47"/>
      <c r="CL33" s="47"/>
      <c r="CM33" s="47"/>
      <c r="CN33" s="47"/>
      <c r="CO33" s="47"/>
      <c r="CQ33" s="47"/>
      <c r="CR33" s="47"/>
      <c r="CS33" s="47"/>
      <c r="CT33" s="47"/>
      <c r="CU33" s="47"/>
      <c r="CV33" s="47"/>
      <c r="CW33" s="47"/>
      <c r="CX33" s="47"/>
      <c r="DE33" s="1" t="str">
        <f t="shared" si="8"/>
        <v/>
      </c>
    </row>
    <row r="34" spans="2:109"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6"/>
      <c r="AC34" s="6"/>
      <c r="AD34" s="6"/>
      <c r="AE34" s="6"/>
      <c r="AF34" s="6"/>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Y34" s="47"/>
      <c r="BZ34" s="47"/>
      <c r="CA34" s="47"/>
      <c r="CB34" s="47"/>
      <c r="CC34" s="47"/>
      <c r="CD34" s="47"/>
      <c r="CE34" s="47"/>
      <c r="CF34" s="47"/>
      <c r="CH34" s="47"/>
      <c r="CI34" s="47"/>
      <c r="CJ34" s="47"/>
      <c r="CK34" s="47"/>
      <c r="CL34" s="47"/>
      <c r="CM34" s="47"/>
      <c r="CN34" s="47"/>
      <c r="CO34" s="47"/>
      <c r="CQ34" s="47"/>
      <c r="CR34" s="47"/>
      <c r="CS34" s="47"/>
      <c r="CT34" s="47"/>
      <c r="CU34" s="47"/>
      <c r="CV34" s="47"/>
      <c r="CW34" s="47"/>
      <c r="CX34" s="47"/>
      <c r="DE34" s="1" t="str">
        <f t="shared" si="8"/>
        <v/>
      </c>
    </row>
    <row r="35" spans="2:109"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6"/>
      <c r="AC35" s="6"/>
      <c r="AD35" s="6"/>
      <c r="AE35" s="6"/>
      <c r="AF35" s="6"/>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Y35" s="47"/>
      <c r="BZ35" s="47"/>
      <c r="CA35" s="47"/>
      <c r="CB35" s="47"/>
      <c r="CC35" s="47"/>
      <c r="CD35" s="47"/>
      <c r="CE35" s="47"/>
      <c r="CF35" s="47"/>
      <c r="CH35" s="47"/>
      <c r="CI35" s="47"/>
      <c r="CJ35" s="47"/>
      <c r="CK35" s="47"/>
      <c r="CL35" s="47"/>
      <c r="CM35" s="47"/>
      <c r="CN35" s="47"/>
      <c r="CO35" s="47"/>
      <c r="CQ35" s="47"/>
      <c r="CR35" s="47"/>
      <c r="CS35" s="47"/>
      <c r="CT35" s="47"/>
      <c r="CU35" s="47"/>
      <c r="CV35" s="47"/>
      <c r="CW35" s="47"/>
      <c r="CX35" s="47"/>
      <c r="DE35" s="1" t="str">
        <f t="shared" si="8"/>
        <v/>
      </c>
    </row>
    <row r="36" spans="2:109"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6"/>
      <c r="AC36" s="6"/>
      <c r="AD36" s="6"/>
      <c r="AE36" s="6"/>
      <c r="AF36" s="6"/>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Y36" s="47"/>
      <c r="BZ36" s="47"/>
      <c r="CA36" s="47"/>
      <c r="CB36" s="47"/>
      <c r="CC36" s="47"/>
      <c r="CD36" s="47"/>
      <c r="CE36" s="47"/>
      <c r="CF36" s="47"/>
      <c r="CH36" s="47"/>
      <c r="CI36" s="47"/>
      <c r="CJ36" s="47"/>
      <c r="CK36" s="47"/>
      <c r="CL36" s="47"/>
      <c r="CM36" s="47"/>
      <c r="CN36" s="47"/>
      <c r="CO36" s="47"/>
      <c r="CQ36" s="47"/>
      <c r="CR36" s="47"/>
      <c r="CS36" s="47"/>
      <c r="CT36" s="47"/>
      <c r="CU36" s="47"/>
      <c r="CV36" s="47"/>
      <c r="CW36" s="47"/>
      <c r="CX36" s="47"/>
      <c r="DE36" s="1" t="str">
        <f t="shared" si="8"/>
        <v/>
      </c>
    </row>
    <row r="37" spans="2:109" x14ac:dyDescent="0.3">
      <c r="J37" s="48">
        <f t="shared" ref="J37:Q37" si="48">SUM(J6:J36)</f>
        <v>0</v>
      </c>
      <c r="K37" s="48">
        <f t="shared" si="48"/>
        <v>0</v>
      </c>
      <c r="L37" s="48">
        <f t="shared" si="48"/>
        <v>0</v>
      </c>
      <c r="M37" s="48">
        <f t="shared" si="48"/>
        <v>33291.285949037003</v>
      </c>
      <c r="N37" s="48">
        <f t="shared" si="48"/>
        <v>12704.753243026245</v>
      </c>
      <c r="O37" s="48">
        <f t="shared" si="48"/>
        <v>0</v>
      </c>
      <c r="P37" s="48">
        <f t="shared" si="48"/>
        <v>0</v>
      </c>
      <c r="Q37" s="48">
        <f t="shared" si="48"/>
        <v>0</v>
      </c>
      <c r="S37" s="48">
        <f t="shared" ref="S37:Z37" si="49">SUM(S6:S36)</f>
        <v>0</v>
      </c>
      <c r="T37" s="48">
        <f t="shared" si="49"/>
        <v>0</v>
      </c>
      <c r="U37" s="48">
        <f t="shared" si="49"/>
        <v>0</v>
      </c>
      <c r="V37" s="48">
        <f t="shared" si="49"/>
        <v>6094.0672146478391</v>
      </c>
      <c r="W37" s="48">
        <f t="shared" si="49"/>
        <v>2333.4315673745577</v>
      </c>
      <c r="X37" s="48">
        <f t="shared" si="49"/>
        <v>0</v>
      </c>
      <c r="Y37" s="48">
        <f t="shared" si="49"/>
        <v>0</v>
      </c>
      <c r="Z37" s="48">
        <f t="shared" si="49"/>
        <v>0</v>
      </c>
      <c r="AB37" s="48">
        <f t="shared" ref="AB37:BW37" si="50">SUM(AB6:AB36)</f>
        <v>0</v>
      </c>
      <c r="AC37" s="48">
        <f t="shared" si="50"/>
        <v>0</v>
      </c>
      <c r="AD37" s="48">
        <f t="shared" si="50"/>
        <v>0</v>
      </c>
      <c r="AE37" s="48">
        <f t="shared" si="50"/>
        <v>0</v>
      </c>
      <c r="AF37" s="48">
        <f t="shared" si="50"/>
        <v>0</v>
      </c>
      <c r="AG37" s="48">
        <f t="shared" si="50"/>
        <v>0</v>
      </c>
      <c r="AH37" s="48">
        <f t="shared" ref="AH37:AS37" si="51">SUM(AH6:AH36)</f>
        <v>0</v>
      </c>
      <c r="AI37" s="48">
        <f t="shared" si="51"/>
        <v>0</v>
      </c>
      <c r="AJ37" s="48">
        <f t="shared" si="51"/>
        <v>0</v>
      </c>
      <c r="AK37" s="48">
        <f t="shared" si="51"/>
        <v>0</v>
      </c>
      <c r="AL37" s="48">
        <f t="shared" si="51"/>
        <v>0</v>
      </c>
      <c r="AM37" s="48">
        <f t="shared" si="51"/>
        <v>0</v>
      </c>
      <c r="AN37" s="48">
        <f t="shared" si="51"/>
        <v>0</v>
      </c>
      <c r="AO37" s="48">
        <f t="shared" si="51"/>
        <v>0</v>
      </c>
      <c r="AP37" s="48">
        <f t="shared" si="51"/>
        <v>0</v>
      </c>
      <c r="AQ37" s="48">
        <f t="shared" si="51"/>
        <v>0</v>
      </c>
      <c r="AR37" s="48">
        <f t="shared" si="51"/>
        <v>0</v>
      </c>
      <c r="AS37" s="48">
        <f t="shared" si="51"/>
        <v>0</v>
      </c>
      <c r="AT37" s="48">
        <f t="shared" si="50"/>
        <v>1.7509052376540273</v>
      </c>
      <c r="AU37" s="48">
        <f t="shared" si="50"/>
        <v>2614.9776015801299</v>
      </c>
      <c r="AV37" s="48">
        <f t="shared" si="50"/>
        <v>6429.8076977440751</v>
      </c>
      <c r="AW37" s="48">
        <f t="shared" si="50"/>
        <v>871.07556544749218</v>
      </c>
      <c r="AX37" s="48">
        <f t="shared" si="50"/>
        <v>2854.2330821978017</v>
      </c>
      <c r="AY37" s="48">
        <f t="shared" si="50"/>
        <v>12771.844852207154</v>
      </c>
      <c r="AZ37" s="48">
        <f t="shared" si="50"/>
        <v>0.71051227035235898</v>
      </c>
      <c r="BA37" s="48">
        <f t="shared" si="50"/>
        <v>949.69899891929424</v>
      </c>
      <c r="BB37" s="48">
        <f t="shared" si="50"/>
        <v>2344.7577585199983</v>
      </c>
      <c r="BC37" s="48">
        <f t="shared" si="50"/>
        <v>316.32949554964728</v>
      </c>
      <c r="BD37" s="48">
        <f t="shared" si="50"/>
        <v>909.58721945379284</v>
      </c>
      <c r="BE37" s="48">
        <f t="shared" si="50"/>
        <v>4521.0839847130846</v>
      </c>
      <c r="BF37" s="48">
        <f t="shared" si="50"/>
        <v>0</v>
      </c>
      <c r="BG37" s="48">
        <f t="shared" si="50"/>
        <v>0</v>
      </c>
      <c r="BH37" s="48">
        <f t="shared" si="50"/>
        <v>0</v>
      </c>
      <c r="BI37" s="48">
        <f t="shared" si="50"/>
        <v>0</v>
      </c>
      <c r="BJ37" s="48">
        <f t="shared" si="50"/>
        <v>0</v>
      </c>
      <c r="BK37" s="48">
        <f t="shared" si="50"/>
        <v>0</v>
      </c>
      <c r="BL37" s="48">
        <f t="shared" si="50"/>
        <v>0</v>
      </c>
      <c r="BM37" s="48">
        <f t="shared" si="50"/>
        <v>0</v>
      </c>
      <c r="BN37" s="48">
        <f t="shared" si="50"/>
        <v>0</v>
      </c>
      <c r="BO37" s="48">
        <f t="shared" si="50"/>
        <v>0</v>
      </c>
      <c r="BP37" s="48">
        <f t="shared" si="50"/>
        <v>0</v>
      </c>
      <c r="BQ37" s="48">
        <f t="shared" si="50"/>
        <v>0</v>
      </c>
      <c r="BR37" s="48">
        <f t="shared" si="50"/>
        <v>0</v>
      </c>
      <c r="BS37" s="48">
        <f t="shared" si="50"/>
        <v>0</v>
      </c>
      <c r="BT37" s="48">
        <f t="shared" si="50"/>
        <v>0</v>
      </c>
      <c r="BU37" s="48">
        <f t="shared" si="50"/>
        <v>0</v>
      </c>
      <c r="BV37" s="48">
        <f t="shared" si="50"/>
        <v>0</v>
      </c>
      <c r="BW37" s="48">
        <f t="shared" si="50"/>
        <v>0</v>
      </c>
      <c r="BY37" s="48">
        <f t="shared" ref="BY37:CF37" si="52">SUM(BY6:BY36)</f>
        <v>0</v>
      </c>
      <c r="BZ37" s="48">
        <f t="shared" si="52"/>
        <v>0</v>
      </c>
      <c r="CA37" s="48">
        <f t="shared" si="52"/>
        <v>0</v>
      </c>
      <c r="CB37" s="48">
        <f t="shared" si="52"/>
        <v>11121.202039395977</v>
      </c>
      <c r="CC37" s="48">
        <f t="shared" si="52"/>
        <v>4584.2230755870314</v>
      </c>
      <c r="CD37" s="48">
        <f t="shared" si="52"/>
        <v>0</v>
      </c>
      <c r="CE37" s="48">
        <f t="shared" si="52"/>
        <v>0</v>
      </c>
      <c r="CF37" s="48">
        <f t="shared" si="52"/>
        <v>0</v>
      </c>
      <c r="CH37" s="48">
        <f t="shared" ref="CH37:CO37" si="53">SUM(CH6:CH36)</f>
        <v>0</v>
      </c>
      <c r="CI37" s="48">
        <f t="shared" si="53"/>
        <v>0</v>
      </c>
      <c r="CJ37" s="48">
        <f t="shared" si="53"/>
        <v>0</v>
      </c>
      <c r="CK37" s="48">
        <f t="shared" si="53"/>
        <v>3854.3743783767991</v>
      </c>
      <c r="CL37" s="48">
        <f t="shared" si="53"/>
        <v>1555.11392765801</v>
      </c>
      <c r="CM37" s="48">
        <f t="shared" si="53"/>
        <v>0</v>
      </c>
      <c r="CN37" s="48">
        <f t="shared" si="53"/>
        <v>0</v>
      </c>
      <c r="CO37" s="48">
        <f t="shared" si="53"/>
        <v>0</v>
      </c>
      <c r="CQ37" s="48">
        <f t="shared" ref="CQ37:CX37" si="54">SUM(CQ6:CQ36)</f>
        <v>0</v>
      </c>
      <c r="CR37" s="48">
        <f t="shared" si="54"/>
        <v>0</v>
      </c>
      <c r="CS37" s="48">
        <f t="shared" si="54"/>
        <v>0</v>
      </c>
      <c r="CT37" s="48">
        <f t="shared" si="54"/>
        <v>33841.488484627771</v>
      </c>
      <c r="CU37" s="48">
        <f t="shared" si="54"/>
        <v>12993.852555332685</v>
      </c>
      <c r="CV37" s="48">
        <f t="shared" si="54"/>
        <v>0</v>
      </c>
      <c r="CW37" s="48">
        <f t="shared" si="54"/>
        <v>0</v>
      </c>
      <c r="CX37" s="48">
        <f t="shared" si="54"/>
        <v>0</v>
      </c>
    </row>
    <row r="38" spans="2:109" x14ac:dyDescent="0.3">
      <c r="CQ38" s="85">
        <f t="shared" ref="CQ38:CX38" si="55">IF(ISERROR((CQ37-J37)/J37),0,(CQ37-J37)/J37)</f>
        <v>0</v>
      </c>
      <c r="CR38" s="85">
        <f t="shared" si="55"/>
        <v>0</v>
      </c>
      <c r="CS38" s="85">
        <f t="shared" si="55"/>
        <v>0</v>
      </c>
      <c r="CT38" s="85">
        <f t="shared" si="55"/>
        <v>1.6526923484813102E-2</v>
      </c>
      <c r="CU38" s="85">
        <f t="shared" si="55"/>
        <v>2.2755208761345225E-2</v>
      </c>
      <c r="CV38" s="85">
        <f t="shared" si="55"/>
        <v>0</v>
      </c>
      <c r="CW38" s="85">
        <f t="shared" si="55"/>
        <v>0</v>
      </c>
      <c r="CX38" s="85">
        <f t="shared" si="55"/>
        <v>0</v>
      </c>
    </row>
    <row r="39" spans="2:109" x14ac:dyDescent="0.3">
      <c r="J39" s="505"/>
      <c r="K39" s="505"/>
      <c r="L39" s="505"/>
      <c r="M39" s="505"/>
      <c r="N39" s="505"/>
      <c r="O39" s="505"/>
      <c r="P39" s="505"/>
      <c r="Q39" s="505"/>
    </row>
    <row r="40" spans="2:109" x14ac:dyDescent="0.3">
      <c r="H40" s="41"/>
      <c r="I40" s="41"/>
      <c r="J40" s="275"/>
      <c r="K40" s="275"/>
      <c r="L40" s="275"/>
      <c r="M40" s="275"/>
      <c r="N40" s="275"/>
      <c r="O40" s="275"/>
      <c r="P40" s="275"/>
      <c r="Q40" s="275"/>
      <c r="CQ40" s="39"/>
      <c r="CR40" s="39"/>
      <c r="CS40" s="39"/>
      <c r="CT40" s="39"/>
      <c r="CU40" s="39"/>
      <c r="CV40" s="39"/>
      <c r="CW40" s="39"/>
      <c r="CX40" s="39"/>
    </row>
    <row r="41" spans="2:109" x14ac:dyDescent="0.3">
      <c r="H41" s="41"/>
      <c r="I41" s="41"/>
      <c r="J41" s="275"/>
      <c r="K41" s="275"/>
      <c r="L41" s="275"/>
      <c r="M41" s="275"/>
      <c r="N41" s="275"/>
      <c r="O41" s="275"/>
      <c r="P41" s="275"/>
      <c r="Q41" s="275"/>
      <c r="CQ41" s="39"/>
      <c r="CR41" s="39"/>
      <c r="CS41" s="39"/>
      <c r="CT41" s="39"/>
      <c r="CU41" s="39"/>
      <c r="CV41" s="39"/>
      <c r="CW41" s="39"/>
      <c r="CX41" s="39"/>
    </row>
    <row r="42" spans="2:109" x14ac:dyDescent="0.3">
      <c r="H42" s="41"/>
      <c r="I42" s="41"/>
      <c r="J42" s="275"/>
      <c r="K42" s="275"/>
      <c r="L42" s="275"/>
      <c r="M42" s="275"/>
      <c r="N42" s="275"/>
      <c r="O42" s="275"/>
      <c r="P42" s="275"/>
      <c r="Q42" s="275"/>
    </row>
    <row r="43" spans="2:109" x14ac:dyDescent="0.3">
      <c r="H43" s="308"/>
      <c r="I43" s="41"/>
      <c r="J43" s="506"/>
      <c r="K43" s="506"/>
      <c r="L43" s="506"/>
      <c r="M43" s="506"/>
      <c r="N43" s="506"/>
      <c r="O43" s="506"/>
      <c r="P43" s="506"/>
      <c r="Q43" s="506"/>
      <c r="CO43" s="79"/>
      <c r="CQ43" s="158"/>
      <c r="CR43" s="158"/>
      <c r="CS43" s="158"/>
      <c r="CT43" s="158"/>
      <c r="CU43" s="158"/>
      <c r="CV43" s="158"/>
      <c r="CW43" s="158"/>
      <c r="CX43" s="158"/>
    </row>
    <row r="44" spans="2:109" x14ac:dyDescent="0.3">
      <c r="H44" s="41"/>
      <c r="I44" s="41"/>
      <c r="CO44" s="79"/>
      <c r="CQ44" s="158"/>
      <c r="CR44" s="158"/>
      <c r="CS44" s="158"/>
      <c r="CT44" s="158"/>
      <c r="CU44" s="158"/>
      <c r="CV44" s="158"/>
      <c r="CW44" s="158"/>
      <c r="CX44" s="158"/>
    </row>
    <row r="45" spans="2:109" x14ac:dyDescent="0.3">
      <c r="H45" s="41"/>
      <c r="I45" s="41"/>
      <c r="CO45" s="79"/>
      <c r="CQ45" s="158"/>
      <c r="CR45" s="158"/>
      <c r="CS45" s="158"/>
      <c r="CT45" s="158"/>
      <c r="CU45" s="158"/>
      <c r="CV45" s="158"/>
      <c r="CW45" s="158"/>
      <c r="CX45" s="158"/>
    </row>
    <row r="46" spans="2:109" x14ac:dyDescent="0.3">
      <c r="J46" s="39"/>
      <c r="K46" s="39"/>
      <c r="L46" s="39"/>
      <c r="CO46" s="79"/>
      <c r="CQ46" s="158"/>
      <c r="CR46" s="158"/>
      <c r="CS46" s="158"/>
      <c r="CT46" s="158"/>
      <c r="CU46" s="158"/>
      <c r="CV46" s="158"/>
      <c r="CW46" s="158"/>
      <c r="CX46" s="158"/>
    </row>
    <row r="47" spans="2:109" x14ac:dyDescent="0.3">
      <c r="J47" s="39"/>
      <c r="K47" s="39"/>
      <c r="L47" s="39"/>
      <c r="CO47" s="79"/>
      <c r="CQ47" s="158"/>
      <c r="CR47" s="158"/>
      <c r="CS47" s="158"/>
      <c r="CT47" s="158"/>
      <c r="CU47" s="158"/>
      <c r="CV47" s="158"/>
      <c r="CW47" s="158"/>
      <c r="CX47" s="158"/>
    </row>
    <row r="48" spans="2:109" x14ac:dyDescent="0.3">
      <c r="J48" s="39"/>
      <c r="K48" s="39"/>
      <c r="L48" s="39"/>
    </row>
    <row r="49" spans="10:12" x14ac:dyDescent="0.3">
      <c r="J49" s="39"/>
      <c r="K49" s="39"/>
      <c r="L49" s="39"/>
    </row>
    <row r="50" spans="10:12" x14ac:dyDescent="0.3">
      <c r="J50" s="39"/>
      <c r="K50" s="39"/>
      <c r="L50" s="39"/>
    </row>
    <row r="54" spans="10:12" x14ac:dyDescent="0.3">
      <c r="J54" s="161"/>
      <c r="K54" s="161"/>
      <c r="L54" s="161"/>
    </row>
    <row r="55" spans="10:12" x14ac:dyDescent="0.3">
      <c r="J55" s="161"/>
      <c r="K55" s="161"/>
      <c r="L55" s="161"/>
    </row>
    <row r="56" spans="10:12" x14ac:dyDescent="0.3">
      <c r="J56" s="161"/>
      <c r="K56" s="161"/>
      <c r="L56" s="161"/>
    </row>
    <row r="57" spans="10:12" x14ac:dyDescent="0.3">
      <c r="J57" s="161"/>
      <c r="K57" s="161"/>
      <c r="L57" s="161"/>
    </row>
  </sheetData>
  <mergeCells count="10">
    <mergeCell ref="J3:Q3"/>
    <mergeCell ref="S3:Z3"/>
    <mergeCell ref="BY3:CF3"/>
    <mergeCell ref="CH3:CO3"/>
    <mergeCell ref="CQ3:CX3"/>
    <mergeCell ref="J4:Q4"/>
    <mergeCell ref="S4:Z4"/>
    <mergeCell ref="BY4:CF4"/>
    <mergeCell ref="CH4:CO4"/>
    <mergeCell ref="CQ4:CX4"/>
  </mergeCells>
  <hyperlinks>
    <hyperlink ref="B2" location="Contents!A1" display="Table of Contents" xr:uid="{00000000-0004-0000-11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count="5">
        <x14:dataValidation type="list" errorStyle="warning" showInputMessage="1" showErrorMessage="1" error="Invalid data entered" prompt="Select from drop down list" xr:uid="{00000000-0002-0000-1100-000000000000}">
          <x14:formula1>
            <xm:f>Lookups!$I$5:$I$10</xm:f>
          </x14:formula1>
          <xm:sqref>G6:G36</xm:sqref>
        </x14:dataValidation>
        <x14:dataValidation type="list" errorStyle="warning" allowBlank="1" showInputMessage="1" showErrorMessage="1" prompt="Select from drop down list" xr:uid="{00000000-0002-0000-1100-000001000000}">
          <x14:formula1>
            <xm:f>Lab_Mat!$C$33:$C$98</xm:f>
          </x14:formula1>
          <xm:sqref>I6:I36</xm:sqref>
        </x14:dataValidation>
        <x14:dataValidation type="list" errorStyle="warning" showInputMessage="1" showErrorMessage="1" error="Invalid data entered" prompt="Select from drop down list" xr:uid="{00000000-0002-0000-1100-000002000000}">
          <x14:formula1>
            <xm:f>Lookups!$C$5:$C$13</xm:f>
          </x14:formula1>
          <xm:sqref>E6:E21 E23:E36</xm:sqref>
        </x14:dataValidation>
        <x14:dataValidation type="list" errorStyle="warning" showInputMessage="1" showErrorMessage="1" error="Invalid data entered" prompt="Select from drop down list" xr:uid="{00000000-0002-0000-1100-000003000000}">
          <x14:formula1>
            <xm:f>Lookups!$C$16:$C$27</xm:f>
          </x14:formula1>
          <xm:sqref>F6:F36</xm:sqref>
        </x14:dataValidation>
        <x14:dataValidation type="list" errorStyle="warning" allowBlank="1" showInputMessage="1" showErrorMessage="1" prompt="Select from drop down list" xr:uid="{00000000-0002-0000-1100-000004000000}">
          <x14:formula1>
            <xm:f>Lab_Mat!$J$6:$J$9</xm:f>
          </x14:formula1>
          <xm:sqref>H6:H36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I69"/>
  <sheetViews>
    <sheetView zoomScale="85" zoomScaleNormal="85" zoomScaleSheetLayoutView="85" zoomScalePageLayoutView="125" workbookViewId="0"/>
  </sheetViews>
  <sheetFormatPr defaultColWidth="8.88671875" defaultRowHeight="14.4" x14ac:dyDescent="0.3"/>
  <cols>
    <col min="1" max="1" width="5.88671875" style="1" customWidth="1"/>
    <col min="2" max="2" width="2.88671875" style="2" customWidth="1"/>
    <col min="3" max="3" width="4.44140625" style="1" customWidth="1"/>
    <col min="4" max="4" width="47.88671875" style="1" customWidth="1"/>
    <col min="5" max="5" width="24" style="1" customWidth="1"/>
    <col min="6" max="6" width="4.33203125" style="1" customWidth="1"/>
    <col min="7" max="7" width="3.88671875" style="1" customWidth="1"/>
    <col min="8" max="8" width="47.109375" style="1" customWidth="1"/>
    <col min="9" max="9" width="10.109375" style="1" customWidth="1"/>
    <col min="10" max="16384" width="8.88671875" style="1"/>
  </cols>
  <sheetData>
    <row r="1" spans="2:9" ht="16.5" customHeight="1" x14ac:dyDescent="0.3">
      <c r="B1" s="580" t="s">
        <v>746</v>
      </c>
    </row>
    <row r="2" spans="2:9" ht="21" x14ac:dyDescent="0.4">
      <c r="B2" s="11" t="s">
        <v>6</v>
      </c>
    </row>
    <row r="3" spans="2:9" ht="15.6" x14ac:dyDescent="0.3">
      <c r="B3" s="517"/>
    </row>
    <row r="4" spans="2:9" ht="9.75" customHeight="1" x14ac:dyDescent="0.3">
      <c r="B4" s="16"/>
    </row>
    <row r="5" spans="2:9" x14ac:dyDescent="0.3">
      <c r="B5" s="74" t="s">
        <v>15</v>
      </c>
      <c r="E5" s="35" t="s">
        <v>140</v>
      </c>
      <c r="F5" s="74" t="s">
        <v>293</v>
      </c>
      <c r="G5" s="15"/>
    </row>
    <row r="6" spans="2:9" ht="6.75" customHeight="1" x14ac:dyDescent="0.3">
      <c r="B6" s="12"/>
      <c r="C6" s="15"/>
      <c r="E6" s="34"/>
      <c r="F6" s="20"/>
      <c r="G6" s="15"/>
    </row>
    <row r="7" spans="2:9" x14ac:dyDescent="0.3">
      <c r="B7" s="74" t="s">
        <v>217</v>
      </c>
      <c r="C7" s="15"/>
      <c r="E7" s="34"/>
      <c r="F7" s="12"/>
      <c r="G7" s="14" t="s">
        <v>16</v>
      </c>
      <c r="H7" s="3" t="str">
        <f>Base_Forecast!B1</f>
        <v>Base Forecast Summary - Direct Expenditure</v>
      </c>
    </row>
    <row r="8" spans="2:9" x14ac:dyDescent="0.3">
      <c r="B8" s="12"/>
      <c r="C8" s="14" t="s">
        <v>16</v>
      </c>
      <c r="D8" s="3" t="str">
        <f>Escalators!B1</f>
        <v>Escalators</v>
      </c>
      <c r="E8" s="34"/>
      <c r="F8" s="12"/>
      <c r="G8" s="14" t="s">
        <v>17</v>
      </c>
      <c r="H8" s="3" t="str">
        <f>Reg_Forecast!B1</f>
        <v>Regulatory Forecast Expenditure</v>
      </c>
      <c r="I8" s="130"/>
    </row>
    <row r="9" spans="2:9" x14ac:dyDescent="0.3">
      <c r="B9" s="12"/>
      <c r="C9" s="14" t="s">
        <v>17</v>
      </c>
      <c r="D9" s="3" t="str">
        <f>Lab_Mat!B1</f>
        <v>Labour &amp; Non-Labour Category Splits</v>
      </c>
      <c r="E9" s="34"/>
      <c r="G9" s="14" t="s">
        <v>18</v>
      </c>
      <c r="H9" s="3" t="s">
        <v>508</v>
      </c>
    </row>
    <row r="10" spans="2:9" x14ac:dyDescent="0.3">
      <c r="B10" s="12"/>
      <c r="C10" s="14" t="s">
        <v>18</v>
      </c>
      <c r="D10" s="3" t="s">
        <v>21</v>
      </c>
      <c r="E10" s="34"/>
      <c r="F10" s="12"/>
      <c r="G10" s="14" t="s">
        <v>19</v>
      </c>
      <c r="H10" s="3" t="s">
        <v>341</v>
      </c>
    </row>
    <row r="11" spans="2:9" ht="14.25" customHeight="1" x14ac:dyDescent="0.3">
      <c r="B11" s="15"/>
      <c r="F11" s="12"/>
      <c r="G11" s="14" t="s">
        <v>20</v>
      </c>
      <c r="H11" s="3" t="s">
        <v>506</v>
      </c>
    </row>
    <row r="12" spans="2:9" x14ac:dyDescent="0.3">
      <c r="B12" s="74" t="s">
        <v>224</v>
      </c>
      <c r="E12" s="34"/>
      <c r="F12" s="12"/>
      <c r="G12" s="14" t="s">
        <v>41</v>
      </c>
      <c r="H12" s="3" t="str">
        <f>Safety!B1</f>
        <v>Safety Expenditure</v>
      </c>
      <c r="I12" s="130"/>
    </row>
    <row r="13" spans="2:9" x14ac:dyDescent="0.3">
      <c r="B13" s="12"/>
      <c r="E13" s="34"/>
      <c r="G13" s="14" t="s">
        <v>528</v>
      </c>
      <c r="H13" s="3" t="s">
        <v>364</v>
      </c>
    </row>
    <row r="14" spans="2:9" x14ac:dyDescent="0.3">
      <c r="B14" s="12"/>
      <c r="C14" s="12" t="s">
        <v>218</v>
      </c>
      <c r="E14" s="34"/>
      <c r="G14" s="15"/>
      <c r="I14" s="34"/>
    </row>
    <row r="15" spans="2:9" x14ac:dyDescent="0.3">
      <c r="B15" s="12"/>
      <c r="C15" s="30" t="s">
        <v>16</v>
      </c>
      <c r="D15" s="3" t="str">
        <f>Augmentation!B1</f>
        <v>Augmentation</v>
      </c>
      <c r="E15" s="55"/>
      <c r="F15" s="74" t="s">
        <v>221</v>
      </c>
      <c r="G15" s="15"/>
      <c r="I15" s="34"/>
    </row>
    <row r="16" spans="2:9" x14ac:dyDescent="0.3">
      <c r="B16" s="12"/>
      <c r="C16" s="13"/>
      <c r="E16" s="55"/>
      <c r="F16" s="20"/>
      <c r="G16" s="12" t="s">
        <v>222</v>
      </c>
      <c r="I16" s="34"/>
    </row>
    <row r="17" spans="2:9" x14ac:dyDescent="0.3">
      <c r="B17" s="12"/>
      <c r="C17" s="12" t="s">
        <v>342</v>
      </c>
      <c r="E17" s="55"/>
      <c r="F17" s="12"/>
      <c r="G17" s="14" t="s">
        <v>16</v>
      </c>
      <c r="H17" s="3" t="str">
        <f>RFM_PTRM!B1</f>
        <v>PTRM output - Standard Control Services</v>
      </c>
      <c r="I17" s="34"/>
    </row>
    <row r="18" spans="2:9" x14ac:dyDescent="0.3">
      <c r="B18" s="12"/>
      <c r="C18" s="14" t="s">
        <v>16</v>
      </c>
      <c r="D18" s="3" t="s">
        <v>292</v>
      </c>
      <c r="E18" s="55"/>
      <c r="F18" s="12"/>
      <c r="G18" s="14" t="s">
        <v>17</v>
      </c>
      <c r="H18" s="3" t="s">
        <v>739</v>
      </c>
      <c r="I18" s="34"/>
    </row>
    <row r="19" spans="2:9" x14ac:dyDescent="0.3">
      <c r="B19" s="12"/>
      <c r="C19" s="14" t="s">
        <v>17</v>
      </c>
      <c r="D19" s="3" t="s">
        <v>73</v>
      </c>
      <c r="E19" s="55"/>
      <c r="F19" s="12"/>
      <c r="G19" s="14"/>
      <c r="I19" s="34"/>
    </row>
    <row r="20" spans="2:9" ht="13.5" customHeight="1" x14ac:dyDescent="0.3">
      <c r="B20" s="12"/>
      <c r="C20" s="14"/>
      <c r="D20" s="3"/>
      <c r="E20" s="55"/>
      <c r="F20" s="12"/>
      <c r="G20" s="19" t="s">
        <v>689</v>
      </c>
      <c r="I20" s="34"/>
    </row>
    <row r="21" spans="2:9" x14ac:dyDescent="0.3">
      <c r="B21" s="12"/>
      <c r="C21" s="12" t="s">
        <v>219</v>
      </c>
      <c r="E21" s="55"/>
      <c r="F21" s="12"/>
      <c r="G21" s="14" t="s">
        <v>16</v>
      </c>
      <c r="H21" s="3" t="s">
        <v>690</v>
      </c>
      <c r="I21" s="34"/>
    </row>
    <row r="22" spans="2:9" x14ac:dyDescent="0.3">
      <c r="B22" s="12"/>
      <c r="C22" s="14" t="s">
        <v>16</v>
      </c>
      <c r="D22" s="3" t="str">
        <f>Major_Rebuilds!B1</f>
        <v>Major Rebuilds</v>
      </c>
      <c r="E22" s="55"/>
      <c r="F22" s="12"/>
      <c r="G22" s="14" t="s">
        <v>17</v>
      </c>
      <c r="H22" s="3" t="s">
        <v>691</v>
      </c>
      <c r="I22" s="34"/>
    </row>
    <row r="23" spans="2:9" x14ac:dyDescent="0.3">
      <c r="B23" s="12"/>
      <c r="C23" s="14" t="s">
        <v>17</v>
      </c>
      <c r="D23" s="3" t="str">
        <f>Stations!B1</f>
        <v>Stations</v>
      </c>
      <c r="E23" s="55"/>
      <c r="F23" s="12"/>
    </row>
    <row r="24" spans="2:9" x14ac:dyDescent="0.3">
      <c r="B24" s="12"/>
      <c r="C24" s="14" t="s">
        <v>18</v>
      </c>
      <c r="D24" s="3" t="str">
        <f>Lines!B1</f>
        <v>Lines</v>
      </c>
      <c r="E24" s="55"/>
      <c r="F24" s="12"/>
      <c r="G24" s="19" t="s">
        <v>223</v>
      </c>
      <c r="I24" s="34"/>
    </row>
    <row r="25" spans="2:9" x14ac:dyDescent="0.3">
      <c r="B25" s="12"/>
      <c r="C25" s="14" t="s">
        <v>19</v>
      </c>
      <c r="D25" s="3" t="str">
        <f>'PC&amp;A'!B1</f>
        <v>Protection, Control &amp; Automation</v>
      </c>
      <c r="E25" s="55"/>
      <c r="F25" s="12"/>
      <c r="G25" s="14" t="s">
        <v>16</v>
      </c>
      <c r="H25" s="3" t="s">
        <v>39</v>
      </c>
      <c r="I25" s="34"/>
    </row>
    <row r="26" spans="2:9" x14ac:dyDescent="0.3">
      <c r="B26" s="12"/>
      <c r="C26" s="14" t="s">
        <v>20</v>
      </c>
      <c r="D26" s="3" t="str">
        <f>'SCADA&amp;Comms'!B1</f>
        <v>SCADA &amp; Network Communications</v>
      </c>
      <c r="E26" s="55"/>
      <c r="F26" s="12"/>
      <c r="G26" s="14" t="s">
        <v>17</v>
      </c>
      <c r="H26" s="3" t="s">
        <v>40</v>
      </c>
      <c r="I26" s="52"/>
    </row>
    <row r="27" spans="2:9" x14ac:dyDescent="0.3">
      <c r="B27" s="12"/>
      <c r="C27" s="14" t="s">
        <v>41</v>
      </c>
      <c r="D27" s="3" t="str">
        <f>Metering_SCS!B1</f>
        <v>Metering SCS</v>
      </c>
      <c r="E27" s="55"/>
      <c r="F27" s="12"/>
      <c r="G27" s="14" t="s">
        <v>18</v>
      </c>
      <c r="H27" s="3" t="s">
        <v>687</v>
      </c>
      <c r="I27" s="52"/>
    </row>
    <row r="28" spans="2:9" x14ac:dyDescent="0.3">
      <c r="B28" s="12"/>
      <c r="C28" s="15"/>
      <c r="F28" s="12"/>
      <c r="G28" s="14" t="s">
        <v>19</v>
      </c>
      <c r="H28" s="3" t="s">
        <v>688</v>
      </c>
      <c r="I28" s="52"/>
    </row>
    <row r="29" spans="2:9" x14ac:dyDescent="0.3">
      <c r="B29" s="12"/>
      <c r="C29" s="12" t="s">
        <v>220</v>
      </c>
      <c r="E29" s="55"/>
      <c r="F29" s="12"/>
      <c r="G29" s="14" t="s">
        <v>20</v>
      </c>
      <c r="H29" s="3" t="s">
        <v>316</v>
      </c>
    </row>
    <row r="30" spans="2:9" x14ac:dyDescent="0.3">
      <c r="B30" s="12"/>
      <c r="C30" s="14" t="s">
        <v>16</v>
      </c>
      <c r="D30" s="3" t="str">
        <f>ESL_1!B1</f>
        <v>Environmental, Safety &amp; Legal - Part A</v>
      </c>
      <c r="E30" s="55"/>
      <c r="F30" s="12"/>
    </row>
    <row r="31" spans="2:9" x14ac:dyDescent="0.3">
      <c r="B31" s="12"/>
      <c r="C31" s="14" t="s">
        <v>17</v>
      </c>
      <c r="D31" s="3" t="str">
        <f>ESL_2!B1</f>
        <v>Environmental, Safety &amp; Legal - Part B</v>
      </c>
      <c r="E31" s="55"/>
      <c r="F31" s="12"/>
      <c r="G31" s="19" t="s">
        <v>346</v>
      </c>
    </row>
    <row r="32" spans="2:9" x14ac:dyDescent="0.3">
      <c r="B32" s="12"/>
      <c r="C32" s="14" t="s">
        <v>18</v>
      </c>
      <c r="D32" s="3" t="s">
        <v>311</v>
      </c>
      <c r="E32" s="55"/>
      <c r="F32" s="12"/>
      <c r="G32" s="14" t="s">
        <v>16</v>
      </c>
      <c r="H32" s="3" t="s">
        <v>348</v>
      </c>
    </row>
    <row r="33" spans="2:9" x14ac:dyDescent="0.3">
      <c r="B33" s="12"/>
      <c r="C33" s="14" t="s">
        <v>19</v>
      </c>
      <c r="D33" s="3" t="s">
        <v>409</v>
      </c>
      <c r="E33" s="55"/>
      <c r="F33" s="12"/>
      <c r="G33" s="14"/>
      <c r="I33" s="34"/>
    </row>
    <row r="34" spans="2:9" x14ac:dyDescent="0.3">
      <c r="B34" s="12"/>
      <c r="C34" s="14"/>
      <c r="D34" s="3"/>
      <c r="E34" s="55"/>
      <c r="F34" s="23"/>
      <c r="G34" s="24"/>
      <c r="I34" s="34"/>
    </row>
    <row r="35" spans="2:9" x14ac:dyDescent="0.3">
      <c r="B35" s="12"/>
      <c r="C35" s="12" t="s">
        <v>776</v>
      </c>
      <c r="E35" s="55"/>
    </row>
    <row r="36" spans="2:9" x14ac:dyDescent="0.3">
      <c r="B36" s="12"/>
      <c r="C36" s="14" t="s">
        <v>16</v>
      </c>
      <c r="D36" s="3" t="str">
        <f>ICT!B1</f>
        <v>ICT Infrastructure</v>
      </c>
      <c r="E36" s="55"/>
    </row>
    <row r="37" spans="2:9" x14ac:dyDescent="0.3">
      <c r="B37" s="12"/>
      <c r="C37" s="14" t="s">
        <v>17</v>
      </c>
      <c r="D37" s="3" t="str">
        <f>Metering_SCS!B1</f>
        <v>Metering SCS</v>
      </c>
      <c r="E37" s="55"/>
    </row>
    <row r="38" spans="2:9" x14ac:dyDescent="0.3">
      <c r="B38" s="12"/>
      <c r="C38" s="14" t="s">
        <v>18</v>
      </c>
      <c r="D38" s="3" t="str">
        <f>Other_NN!B1</f>
        <v>Other Non Network</v>
      </c>
      <c r="E38" s="55"/>
    </row>
    <row r="39" spans="2:9" ht="6" customHeight="1" x14ac:dyDescent="0.3">
      <c r="B39" s="12"/>
      <c r="C39" s="15"/>
      <c r="E39" s="34"/>
    </row>
    <row r="40" spans="2:9" x14ac:dyDescent="0.3">
      <c r="E40" s="34"/>
    </row>
    <row r="41" spans="2:9" ht="6" customHeight="1" x14ac:dyDescent="0.3">
      <c r="E41" s="34"/>
    </row>
    <row r="42" spans="2:9" x14ac:dyDescent="0.3">
      <c r="E42" s="34"/>
    </row>
    <row r="43" spans="2:9" x14ac:dyDescent="0.3">
      <c r="E43" s="34"/>
    </row>
    <row r="44" spans="2:9" x14ac:dyDescent="0.3">
      <c r="E44" s="34"/>
    </row>
    <row r="45" spans="2:9" x14ac:dyDescent="0.3">
      <c r="E45" s="34"/>
    </row>
    <row r="46" spans="2:9" x14ac:dyDescent="0.3">
      <c r="B46" s="12"/>
      <c r="C46" s="15"/>
      <c r="E46" s="34"/>
    </row>
    <row r="47" spans="2:9" x14ac:dyDescent="0.3">
      <c r="B47" s="12"/>
      <c r="C47" s="15"/>
      <c r="E47" s="34"/>
    </row>
    <row r="49" ht="5.25" customHeight="1" x14ac:dyDescent="0.3"/>
    <row r="53" ht="6" customHeight="1" x14ac:dyDescent="0.3"/>
    <row r="56" ht="6" customHeight="1" x14ac:dyDescent="0.3"/>
    <row r="67" spans="2:2" x14ac:dyDescent="0.3">
      <c r="B67" s="12"/>
    </row>
    <row r="68" spans="2:2" x14ac:dyDescent="0.3">
      <c r="B68" s="12"/>
    </row>
    <row r="69" spans="2:2" x14ac:dyDescent="0.3">
      <c r="B69" s="12"/>
    </row>
  </sheetData>
  <hyperlinks>
    <hyperlink ref="B5" location="Assumptions!A1" display="Assumptions" xr:uid="{00000000-0004-0000-0000-000000000000}"/>
    <hyperlink ref="B12" location="'Inputs -&gt;'!A1" display="2. Inputs" xr:uid="{00000000-0004-0000-0000-000001000000}"/>
    <hyperlink ref="D15" location="Augmentation!A1" display="Augmentation Capex" xr:uid="{00000000-0004-0000-0000-000002000000}"/>
    <hyperlink ref="D22" location="'Major_Rebuilds'!A1" display="'Major_Rebuilds'!A1" xr:uid="{00000000-0004-0000-0000-000003000000}"/>
    <hyperlink ref="D23" location="Stations!A1" display="Stations" xr:uid="{00000000-0004-0000-0000-000004000000}"/>
    <hyperlink ref="D24" location="Lines!A1" display="Lines" xr:uid="{00000000-0004-0000-0000-000005000000}"/>
    <hyperlink ref="D25" location="'PC&amp;A'!A1" display="Protection, Control &amp; Automation" xr:uid="{00000000-0004-0000-0000-000006000000}"/>
    <hyperlink ref="D26" location="'SCADA&amp;Comms'!A1" display="'SCADA&amp;Comms'!A1" xr:uid="{00000000-0004-0000-0000-000007000000}"/>
    <hyperlink ref="D30" location="ESL_1!A1" display="ESL_1!A1" xr:uid="{00000000-0004-0000-0000-000009000000}"/>
    <hyperlink ref="D18" location="Connections!B5" display="Customer Capex" xr:uid="{00000000-0004-0000-0000-00000A000000}"/>
    <hyperlink ref="D36" location="'ICT'!A1" display="'ICT'!A1" xr:uid="{00000000-0004-0000-0000-00000B000000}"/>
    <hyperlink ref="D38" location="Other_NN!A1" display="Other_NN!A1" xr:uid="{00000000-0004-0000-0000-00000C000000}"/>
    <hyperlink ref="F5" location="'Aggregations &amp; Alloc -&gt;'!A1" display="4. Aggregations &amp; Allocations" xr:uid="{00000000-0004-0000-0000-00000D000000}"/>
    <hyperlink ref="F15" location="'Outputs -&gt;'!A1" display="4. Outputs" xr:uid="{00000000-0004-0000-0000-00000E000000}"/>
    <hyperlink ref="B7" location="'Lookups -&gt;'!A1" display="5. Lookup Tables" xr:uid="{00000000-0004-0000-0000-00000F000000}"/>
    <hyperlink ref="D8" location="Escalators!A1" display="CPI index" xr:uid="{00000000-0004-0000-0000-000010000000}"/>
    <hyperlink ref="D9" location="Lab_Mat!A1" display="Labour &amp; Material Escalators" xr:uid="{00000000-0004-0000-0000-000011000000}"/>
    <hyperlink ref="D10" location="Lookups!A1" display="Reporting Categories" xr:uid="{00000000-0004-0000-0000-000012000000}"/>
    <hyperlink ref="H17" location="RFM_PTRM!A1" display="RFM_PTRM!A1" xr:uid="{00000000-0004-0000-0000-000013000000}"/>
    <hyperlink ref="H21" location="DER!A1" display="DER related Capex" xr:uid="{00000000-0004-0000-0000-000015000000}"/>
    <hyperlink ref="H25" location="'2.1 Exp Summary'!A1" display="2.1 Expenditure Summary" xr:uid="{00000000-0004-0000-0000-000016000000}"/>
    <hyperlink ref="H26" location="'2.6 Non-Network'!A1" display="2.6 Non-Network" xr:uid="{00000000-0004-0000-0000-000017000000}"/>
    <hyperlink ref="H27" location="'2.1.8 Cap Overheads'!A1" display="2.1.8 Overheads" xr:uid="{00000000-0004-0000-0000-000018000000}"/>
    <hyperlink ref="H28" location="'2.11 Labour'!A1" display="2.11 Labour" xr:uid="{00000000-0004-0000-0000-000019000000}"/>
    <hyperlink ref="H7" location="Base_Forecast!A1" display="Base_Forecast!A1" xr:uid="{00000000-0004-0000-0000-00001A000000}"/>
    <hyperlink ref="H8" location="Reg_Forecast!A1" display="Reg_Forecast!A1" xr:uid="{00000000-0004-0000-0000-00001B000000}"/>
    <hyperlink ref="D31" location="ESL_2!A1" display="ESL_2!A1" xr:uid="{00000000-0004-0000-0000-00001C000000}"/>
    <hyperlink ref="H13" location="AusNet_Overheads!A1" display="AusNet Overhead allocations" xr:uid="{00000000-0004-0000-0000-00001D000000}"/>
    <hyperlink ref="D19" location="Connections!B43" display="Customer Contributions" xr:uid="{00000000-0004-0000-0000-00001E000000}"/>
    <hyperlink ref="D32" location="ESL_2!A40" display="Govt. Funded Safety Programs" xr:uid="{00000000-0004-0000-0000-00001F000000}"/>
    <hyperlink ref="H29" location="'2.17 Step Changes'!A1" display="2.17 Step Changes" xr:uid="{00000000-0004-0000-0000-000020000000}"/>
    <hyperlink ref="H9" location="Downer_Contract!A1" display="Downer Support Costs" xr:uid="{00000000-0004-0000-0000-000021000000}"/>
    <hyperlink ref="H10" location="RIN_Direct_Forecast!A1" display="RIN Expenditure Summary - Direct Expenditure" xr:uid="{00000000-0004-0000-0000-000022000000}"/>
    <hyperlink ref="H32" location="Repex_Analysis!A1" display="Repex Volumes Analysis" xr:uid="{00000000-0004-0000-0000-000023000000}"/>
    <hyperlink ref="H22" location="REFCL_view!A1" display="REFCL Capex" xr:uid="{00000000-0004-0000-0000-000024000000}"/>
    <hyperlink ref="D27" location="Metering_SCS!A1" display="Metering_SCS!A1" xr:uid="{00000000-0004-0000-0000-000025000000}"/>
    <hyperlink ref="D33" location="REFCL!A1" display="REFCL Program" xr:uid="{00000000-0004-0000-0000-000026000000}"/>
    <hyperlink ref="H12" location="Safety!A1" display="Safety!A1" xr:uid="{00000000-0004-0000-0000-000027000000}"/>
    <hyperlink ref="D37" location="Metering_SCS!A1" display="Metering_SCS!A1" xr:uid="{00000000-0004-0000-0000-000028000000}"/>
    <hyperlink ref="H11" location="Capex_by_Driver!A1" display="Capex by Driver" xr:uid="{00000000-0004-0000-0000-000029000000}"/>
    <hyperlink ref="H18" location="'Capex_2016-2026'!A1" display="Capex 2016-2026" xr:uid="{021B2064-5CE6-478C-8336-38B30AA83FB8}"/>
  </hyperlinks>
  <pageMargins left="0.25" right="0.25" top="0.75" bottom="0.75" header="0.3" footer="0.3"/>
  <pageSetup paperSize="9" scale="86" orientation="landscape" r:id="rId1"/>
  <drawing r:id="rId2"/>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B1:BO55"/>
  <sheetViews>
    <sheetView zoomScale="70" zoomScaleNormal="70" zoomScalePageLayoutView="125" workbookViewId="0">
      <pane xSplit="8" topLeftCell="AR1" activePane="topRight" state="frozen"/>
      <selection activeCell="BD41" sqref="BD41"/>
      <selection pane="topRight" activeCell="BN38" sqref="BN38"/>
    </sheetView>
  </sheetViews>
  <sheetFormatPr defaultColWidth="8.88671875" defaultRowHeight="14.4" outlineLevelCol="1" x14ac:dyDescent="0.3"/>
  <cols>
    <col min="1" max="1" width="4" style="1" customWidth="1"/>
    <col min="2" max="2" width="21.44140625" style="1" bestFit="1" customWidth="1"/>
    <col min="3" max="3" width="12.5546875" style="1" customWidth="1"/>
    <col min="4" max="4" width="37.33203125" style="1" customWidth="1"/>
    <col min="5" max="5" width="43.109375" style="1" hidden="1" customWidth="1" outlineLevel="1"/>
    <col min="6" max="6" width="33.44140625" style="1" hidden="1" customWidth="1" outlineLevel="1"/>
    <col min="7" max="7" width="27.6640625" style="1" hidden="1" customWidth="1" outlineLevel="1"/>
    <col min="8" max="8" width="24.44140625" style="1" hidden="1" customWidth="1" outlineLevel="1"/>
    <col min="9" max="9" width="29.6640625" style="1" hidden="1" customWidth="1" outlineLevel="1"/>
    <col min="10" max="10" width="9" style="1" customWidth="1" collapsed="1"/>
    <col min="11" max="17" width="9" style="1" customWidth="1"/>
    <col min="18" max="18" width="3.109375" style="1" customWidth="1"/>
    <col min="19" max="26" width="8.88671875" style="1"/>
    <col min="27" max="27" width="2.88671875" style="1" customWidth="1"/>
    <col min="28" max="35" width="8.88671875" style="1"/>
    <col min="36" max="36" width="2.44140625" style="1" customWidth="1"/>
    <col min="37" max="44" width="8.88671875" style="1"/>
    <col min="45" max="45" width="2.88671875" style="1" customWidth="1"/>
    <col min="46" max="53" width="8.88671875" style="1"/>
    <col min="54" max="54" width="2.88671875" style="1" customWidth="1"/>
    <col min="55" max="62" width="8.88671875" style="1"/>
    <col min="63" max="63" width="2.88671875" style="1" customWidth="1"/>
    <col min="64" max="64" width="8.33203125" style="1" bestFit="1" customWidth="1"/>
    <col min="65" max="65" width="8.88671875" style="1"/>
    <col min="66" max="66" width="8.33203125" style="1" bestFit="1" customWidth="1"/>
    <col min="67" max="67" width="33.6640625" style="1" customWidth="1"/>
    <col min="68" max="16384" width="8.88671875" style="1"/>
  </cols>
  <sheetData>
    <row r="1" spans="2:67" ht="18" x14ac:dyDescent="0.35">
      <c r="B1" s="10" t="s">
        <v>27</v>
      </c>
      <c r="M1" s="582"/>
      <c r="N1" s="582"/>
    </row>
    <row r="2" spans="2:67" x14ac:dyDescent="0.3">
      <c r="B2" s="25" t="s">
        <v>6</v>
      </c>
      <c r="AB2" s="89"/>
      <c r="AC2" s="89"/>
      <c r="AD2" s="89"/>
    </row>
    <row r="3" spans="2:67" x14ac:dyDescent="0.3">
      <c r="J3" s="592"/>
      <c r="K3" s="592"/>
      <c r="L3" s="592"/>
      <c r="M3" s="592"/>
      <c r="N3" s="592"/>
      <c r="O3" s="592"/>
      <c r="P3" s="592"/>
      <c r="Q3" s="592"/>
      <c r="S3" s="592"/>
      <c r="T3" s="592"/>
      <c r="U3" s="592"/>
      <c r="V3" s="592"/>
      <c r="W3" s="592"/>
      <c r="X3" s="592"/>
      <c r="Y3" s="592"/>
      <c r="Z3" s="592"/>
      <c r="AB3" s="592"/>
      <c r="AC3" s="592"/>
      <c r="AD3" s="592"/>
      <c r="AE3" s="592"/>
      <c r="AF3" s="592"/>
      <c r="AG3" s="592"/>
      <c r="AH3" s="592"/>
      <c r="AI3" s="592"/>
      <c r="AK3" s="592"/>
      <c r="AL3" s="592"/>
      <c r="AM3" s="592"/>
      <c r="AN3" s="592"/>
      <c r="AO3" s="592"/>
      <c r="AP3" s="592"/>
      <c r="AQ3" s="592"/>
      <c r="AR3" s="592"/>
      <c r="AT3" s="592"/>
      <c r="AU3" s="592"/>
      <c r="AV3" s="592"/>
      <c r="AW3" s="592"/>
      <c r="AX3" s="592"/>
      <c r="AY3" s="592"/>
      <c r="AZ3" s="592"/>
      <c r="BA3" s="592"/>
      <c r="BC3" s="592"/>
      <c r="BD3" s="592"/>
      <c r="BE3" s="592"/>
      <c r="BF3" s="592"/>
      <c r="BG3" s="592"/>
      <c r="BH3" s="592"/>
      <c r="BI3" s="592"/>
      <c r="BJ3" s="592"/>
    </row>
    <row r="4" spans="2:67" ht="35.4" customHeight="1" x14ac:dyDescent="0.3">
      <c r="J4" s="589" t="s">
        <v>378</v>
      </c>
      <c r="K4" s="590"/>
      <c r="L4" s="590"/>
      <c r="M4" s="590"/>
      <c r="N4" s="590"/>
      <c r="O4" s="590"/>
      <c r="P4" s="590"/>
      <c r="Q4" s="591"/>
      <c r="S4" s="589" t="s">
        <v>174</v>
      </c>
      <c r="T4" s="590"/>
      <c r="U4" s="590"/>
      <c r="V4" s="590"/>
      <c r="W4" s="590"/>
      <c r="X4" s="590"/>
      <c r="Y4" s="590"/>
      <c r="Z4" s="591"/>
      <c r="AB4" s="589" t="s">
        <v>173</v>
      </c>
      <c r="AC4" s="590"/>
      <c r="AD4" s="590"/>
      <c r="AE4" s="590"/>
      <c r="AF4" s="590"/>
      <c r="AG4" s="590"/>
      <c r="AH4" s="590"/>
      <c r="AI4" s="591"/>
      <c r="AK4" s="589" t="s">
        <v>297</v>
      </c>
      <c r="AL4" s="590"/>
      <c r="AM4" s="590"/>
      <c r="AN4" s="590"/>
      <c r="AO4" s="590"/>
      <c r="AP4" s="590"/>
      <c r="AQ4" s="590"/>
      <c r="AR4" s="591"/>
      <c r="AT4" s="589" t="s">
        <v>175</v>
      </c>
      <c r="AU4" s="590"/>
      <c r="AV4" s="590"/>
      <c r="AW4" s="590"/>
      <c r="AX4" s="590"/>
      <c r="AY4" s="590"/>
      <c r="AZ4" s="590"/>
      <c r="BA4" s="591"/>
      <c r="BC4" s="589" t="s">
        <v>379</v>
      </c>
      <c r="BD4" s="590"/>
      <c r="BE4" s="590"/>
      <c r="BF4" s="590"/>
      <c r="BG4" s="590"/>
      <c r="BH4" s="590"/>
      <c r="BI4" s="590"/>
      <c r="BJ4" s="591"/>
      <c r="BL4" s="589" t="s">
        <v>787</v>
      </c>
      <c r="BM4" s="590"/>
      <c r="BN4" s="591"/>
    </row>
    <row r="5" spans="2:67" x14ac:dyDescent="0.3">
      <c r="B5" s="8" t="s">
        <v>23</v>
      </c>
      <c r="C5" s="8" t="s">
        <v>24</v>
      </c>
      <c r="D5" s="17" t="s">
        <v>98</v>
      </c>
      <c r="E5" s="17" t="s">
        <v>76</v>
      </c>
      <c r="F5" s="17" t="s">
        <v>77</v>
      </c>
      <c r="G5" s="17" t="s">
        <v>322</v>
      </c>
      <c r="H5" s="17" t="s">
        <v>212</v>
      </c>
      <c r="I5" s="17" t="s">
        <v>359</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CP_Yr_4</f>
        <v>43800</v>
      </c>
      <c r="AC5" s="335">
        <f>CP_Yr_5</f>
        <v>44166</v>
      </c>
      <c r="AD5" s="335">
        <f>Stub</f>
        <v>44377</v>
      </c>
      <c r="AE5" s="335">
        <f>Yr_1</f>
        <v>44742</v>
      </c>
      <c r="AF5" s="335">
        <f>Yr_2</f>
        <v>45107</v>
      </c>
      <c r="AG5" s="335">
        <f>Yr_3</f>
        <v>45473</v>
      </c>
      <c r="AH5" s="335">
        <f>Yr_4</f>
        <v>45838</v>
      </c>
      <c r="AI5" s="335">
        <f>Yr_5</f>
        <v>46203</v>
      </c>
      <c r="AJ5" s="336"/>
      <c r="AK5" s="335">
        <f>CP_Yr_4</f>
        <v>43800</v>
      </c>
      <c r="AL5" s="335">
        <f>CP_Yr_5</f>
        <v>44166</v>
      </c>
      <c r="AM5" s="335">
        <f>Stub</f>
        <v>44377</v>
      </c>
      <c r="AN5" s="335">
        <f>Yr_1</f>
        <v>44742</v>
      </c>
      <c r="AO5" s="335">
        <f>Yr_2</f>
        <v>45107</v>
      </c>
      <c r="AP5" s="335">
        <f>Yr_3</f>
        <v>45473</v>
      </c>
      <c r="AQ5" s="335">
        <f>Yr_4</f>
        <v>45838</v>
      </c>
      <c r="AR5" s="335">
        <f>Yr_5</f>
        <v>46203</v>
      </c>
      <c r="AS5" s="336"/>
      <c r="AT5" s="335">
        <f>CP_Yr_4</f>
        <v>43800</v>
      </c>
      <c r="AU5" s="335">
        <f>CP_Yr_5</f>
        <v>44166</v>
      </c>
      <c r="AV5" s="335">
        <f>Stub</f>
        <v>44377</v>
      </c>
      <c r="AW5" s="335">
        <f>Yr_1</f>
        <v>44742</v>
      </c>
      <c r="AX5" s="335">
        <f>Yr_2</f>
        <v>45107</v>
      </c>
      <c r="AY5" s="335">
        <f>Yr_3</f>
        <v>45473</v>
      </c>
      <c r="AZ5" s="335">
        <f>Yr_4</f>
        <v>45838</v>
      </c>
      <c r="BA5" s="335">
        <f>Yr_5</f>
        <v>46203</v>
      </c>
      <c r="BB5" s="336"/>
      <c r="BC5" s="335">
        <f>CP_Yr_4</f>
        <v>43800</v>
      </c>
      <c r="BD5" s="335">
        <f>CP_Yr_5</f>
        <v>44166</v>
      </c>
      <c r="BE5" s="335">
        <f>Stub</f>
        <v>44377</v>
      </c>
      <c r="BF5" s="335">
        <f>Yr_1</f>
        <v>44742</v>
      </c>
      <c r="BG5" s="335">
        <f>Yr_2</f>
        <v>45107</v>
      </c>
      <c r="BH5" s="335">
        <f>Yr_3</f>
        <v>45473</v>
      </c>
      <c r="BI5" s="335">
        <f>Yr_4</f>
        <v>45838</v>
      </c>
      <c r="BJ5" s="335">
        <f>Yr_5</f>
        <v>46203</v>
      </c>
      <c r="BL5" s="335">
        <f>CP_Yr_4</f>
        <v>43800</v>
      </c>
      <c r="BM5" s="335">
        <f>CP_Yr_5</f>
        <v>44166</v>
      </c>
      <c r="BN5" s="335">
        <f>Stub</f>
        <v>44377</v>
      </c>
      <c r="BO5" s="640" t="s">
        <v>792</v>
      </c>
    </row>
    <row r="6" spans="2:67" x14ac:dyDescent="0.3">
      <c r="B6" s="7"/>
      <c r="C6" s="7"/>
      <c r="D6" s="7" t="s">
        <v>603</v>
      </c>
      <c r="E6" s="7" t="s">
        <v>49</v>
      </c>
      <c r="F6" s="7" t="s">
        <v>49</v>
      </c>
      <c r="G6" s="7" t="s">
        <v>34</v>
      </c>
      <c r="H6" s="7" t="s">
        <v>166</v>
      </c>
      <c r="I6" s="7" t="s">
        <v>332</v>
      </c>
      <c r="J6" s="45">
        <v>25683.839107210471</v>
      </c>
      <c r="K6" s="45">
        <v>16825.164049489427</v>
      </c>
      <c r="L6" s="45">
        <v>4253.9637207529177</v>
      </c>
      <c r="M6" s="45">
        <v>12909.356716666665</v>
      </c>
      <c r="N6" s="45">
        <v>5978.810183333334</v>
      </c>
      <c r="O6" s="45">
        <v>13310.785883333334</v>
      </c>
      <c r="P6" s="45">
        <v>7027.8743333333341</v>
      </c>
      <c r="Q6" s="45">
        <v>6329.1528833333341</v>
      </c>
      <c r="S6" s="47">
        <f>INDEX(Direct_Cost_Splits_Non_Ntwk,MATCH($H6,RIN_Asset_Cat_Non_Ntwk,0),MATCH($S$4,Direct_Cost_Type,0))*J6*HLOOKUP(S$5,Escalators!$I$25:$U$30,3,FALSE)</f>
        <v>4680.2588930457268</v>
      </c>
      <c r="T6" s="47">
        <f>INDEX(Direct_Cost_Splits_Non_Ntwk,MATCH($H6,RIN_Asset_Cat_Non_Ntwk,0),MATCH($S$4,Direct_Cost_Type,0))*K6*HLOOKUP(T$5,Escalators!$I$25:$U$30,3,FALSE)</f>
        <v>3095.268035584465</v>
      </c>
      <c r="U6" s="47">
        <f>INDEX(Direct_Cost_Splits_Non_Ntwk,MATCH($H6,RIN_Asset_Cat_Non_Ntwk,0),MATCH($S$4,Direct_Cost_Type,0))*L6*HLOOKUP(U$5,Escalators!$I$25:$U$30,3,FALSE)</f>
        <v>786.09142938373077</v>
      </c>
      <c r="V6" s="47">
        <f>INDEX(Direct_Cost_Splits_Non_Ntwk,MATCH($H6,RIN_Asset_Cat_Non_Ntwk,0),MATCH($S$4,Direct_Cost_Type,0))*M6*HLOOKUP(V$5,Escalators!$I$25:$U$30,3,FALSE)</f>
        <v>2408.3487366598124</v>
      </c>
      <c r="W6" s="47">
        <f>INDEX(Direct_Cost_Splits_Non_Ntwk,MATCH($H6,RIN_Asset_Cat_Non_Ntwk,0),MATCH($S$4,Direct_Cost_Type,0))*N6*HLOOKUP(W$5,Escalators!$I$25:$U$30,3,FALSE)</f>
        <v>1126.8413262109855</v>
      </c>
      <c r="X6" s="47">
        <f>INDEX(Direct_Cost_Splits_Non_Ntwk,MATCH($H6,RIN_Asset_Cat_Non_Ntwk,0),MATCH($S$4,Direct_Cost_Type,0))*O6*HLOOKUP(X$5,Escalators!$I$25:$U$30,3,FALSE)</f>
        <v>2535.7206883947683</v>
      </c>
      <c r="Y6" s="47">
        <f>INDEX(Direct_Cost_Splits_Non_Ntwk,MATCH($H6,RIN_Asset_Cat_Non_Ntwk,0),MATCH($S$4,Direct_Cost_Type,0))*P6*HLOOKUP(Y$5,Escalators!$I$25:$U$30,3,FALSE)</f>
        <v>1351.4773723875962</v>
      </c>
      <c r="Z6" s="47">
        <f>INDEX(Direct_Cost_Splits_Non_Ntwk,MATCH($H6,RIN_Asset_Cat_Non_Ntwk,0),MATCH($S$4,Direct_Cost_Type,0))*Q6*HLOOKUP(Z$5,Escalators!$I$25:$U$30,3,FALSE)</f>
        <v>1227.8221151552932</v>
      </c>
      <c r="AB6" s="47">
        <f t="shared" ref="AB6:AB9" si="0">INDEX(Direct_Cost_Splits_Non_Ntwk,MATCH($H6,RIN_Asset_Cat_Non_Ntwk,0),MATCH($AB$4,Direct_Cost_Type,0))*J6</f>
        <v>8846.4114257780257</v>
      </c>
      <c r="AC6" s="47">
        <f t="shared" ref="AC6:AC9" si="1">INDEX(Direct_Cost_Splits_Non_Ntwk,MATCH($H6,RIN_Asset_Cat_Non_Ntwk,0),MATCH($AB$4,Direct_Cost_Type,0))*K6</f>
        <v>5795.1742676275762</v>
      </c>
      <c r="AD6" s="47">
        <f t="shared" ref="AD6:AD9" si="2">INDEX(Direct_Cost_Splits_Non_Ntwk,MATCH($H6,RIN_Asset_Cat_Non_Ntwk,0),MATCH($AB$4,Direct_Cost_Type,0))*L6</f>
        <v>1465.2137130678773</v>
      </c>
      <c r="AE6" s="47">
        <f t="shared" ref="AE6:AE9" si="3">INDEX(Direct_Cost_Splits_Non_Ntwk,MATCH($H6,RIN_Asset_Cat_Non_Ntwk,0),MATCH($AB$4,Direct_Cost_Type,0))*M6</f>
        <v>4446.4334276920226</v>
      </c>
      <c r="AF6" s="47">
        <f t="shared" ref="AF6:AF9" si="4">INDEX(Direct_Cost_Splits_Non_Ntwk,MATCH($H6,RIN_Asset_Cat_Non_Ntwk,0),MATCH($AB$4,Direct_Cost_Type,0))*N6</f>
        <v>2059.3110904338832</v>
      </c>
      <c r="AG6" s="47">
        <f t="shared" ref="AG6:AG9" si="5">INDEX(Direct_Cost_Splits_Non_Ntwk,MATCH($H6,RIN_Asset_Cat_Non_Ntwk,0),MATCH($AB$4,Direct_Cost_Type,0))*O6</f>
        <v>4584.6996561875758</v>
      </c>
      <c r="AH6" s="47">
        <f t="shared" ref="AH6:AH9" si="6">INDEX(Direct_Cost_Splits_Non_Ntwk,MATCH($H6,RIN_Asset_Cat_Non_Ntwk,0),MATCH($AB$4,Direct_Cost_Type,0))*P6</f>
        <v>2420.6454316200002</v>
      </c>
      <c r="AI6" s="47">
        <f t="shared" ref="AI6:AI9" si="7">INDEX(Direct_Cost_Splits_Non_Ntwk,MATCH($H6,RIN_Asset_Cat_Non_Ntwk,0),MATCH($AB$4,Direct_Cost_Type,0))*Q6</f>
        <v>2179.9813551587481</v>
      </c>
      <c r="AK6" s="47">
        <f>INDEX(Direct_Cost_Splits_Non_Ntwk,MATCH($H6,RIN_Asset_Cat_Non_Ntwk,0),MATCH($AK$4,Direct_Cost_Type,0))*J6*HLOOKUP(AK$5,Escalators!$I$25:$U$30,6,FALSE)</f>
        <v>12309.126573211646</v>
      </c>
      <c r="AL6" s="47">
        <f>INDEX(Direct_Cost_Splits_Non_Ntwk,MATCH($H6,RIN_Asset_Cat_Non_Ntwk,0),MATCH($AK$4,Direct_Cost_Type,0))*K6*HLOOKUP(AL$5,Escalators!$I$25:$U$30,6,FALSE)</f>
        <v>8140.5851468253604</v>
      </c>
      <c r="AM6" s="47">
        <f>INDEX(Direct_Cost_Splits_Non_Ntwk,MATCH($H6,RIN_Asset_Cat_Non_Ntwk,0),MATCH($AK$4,Direct_Cost_Type,0))*L6*HLOOKUP(AM$5,Escalators!$I$25:$U$30,6,FALSE)</f>
        <v>2067.4281324006811</v>
      </c>
      <c r="AN6" s="47">
        <f>INDEX(Direct_Cost_Splits_Non_Ntwk,MATCH($H6,RIN_Asset_Cat_Non_Ntwk,0),MATCH($AK$4,Direct_Cost_Type,0))*M6*HLOOKUP(AN$5,Escalators!$I$25:$U$30,6,FALSE)</f>
        <v>6333.9806855616953</v>
      </c>
      <c r="AO6" s="47">
        <f>INDEX(Direct_Cost_Splits_Non_Ntwk,MATCH($H6,RIN_Asset_Cat_Non_Ntwk,0),MATCH($AK$4,Direct_Cost_Type,0))*N6*HLOOKUP(AO$5,Escalators!$I$25:$U$30,6,FALSE)</f>
        <v>2963.6036871520942</v>
      </c>
      <c r="AP6" s="47">
        <f>INDEX(Direct_Cost_Splits_Non_Ntwk,MATCH($H6,RIN_Asset_Cat_Non_Ntwk,0),MATCH($AK$4,Direct_Cost_Type,0))*O6*HLOOKUP(AP$5,Escalators!$I$25:$U$30,6,FALSE)</f>
        <v>6668.9701619157031</v>
      </c>
      <c r="AQ6" s="47">
        <f>INDEX(Direct_Cost_Splits_Non_Ntwk,MATCH($H6,RIN_Asset_Cat_Non_Ntwk,0),MATCH($AK$4,Direct_Cost_Type,0))*P6*HLOOKUP(AQ$5,Escalators!$I$25:$U$30,6,FALSE)</f>
        <v>3554.3986812927528</v>
      </c>
      <c r="AR6" s="47">
        <f>INDEX(Direct_Cost_Splits_Non_Ntwk,MATCH($H6,RIN_Asset_Cat_Non_Ntwk,0),MATCH($AK$4,Direct_Cost_Type,0))*Q6*HLOOKUP(AR$5,Escalators!$I$25:$U$30,6,FALSE)</f>
        <v>3229.1841477597695</v>
      </c>
      <c r="AT6" s="47">
        <f t="shared" ref="AT6:AT9" si="8">INDEX(Direct_Cost_Splits_Non_Ntwk,MATCH($H6,RIN_Asset_Cat_Non_Ntwk,0),MATCH($AT$4,Direct_Cost_Type,0))*J6</f>
        <v>0</v>
      </c>
      <c r="AU6" s="47">
        <f t="shared" ref="AU6:AU9" si="9">INDEX(Direct_Cost_Splits_Non_Ntwk,MATCH($H6,RIN_Asset_Cat_Non_Ntwk,0),MATCH($AT$4,Direct_Cost_Type,0))*K6</f>
        <v>0</v>
      </c>
      <c r="AV6" s="47">
        <f t="shared" ref="AV6:AV9" si="10">INDEX(Direct_Cost_Splits_Non_Ntwk,MATCH($H6,RIN_Asset_Cat_Non_Ntwk,0),MATCH($AT$4,Direct_Cost_Type,0))*L6</f>
        <v>0</v>
      </c>
      <c r="AW6" s="47">
        <f t="shared" ref="AW6:AW9" si="11">INDEX(Direct_Cost_Splits_Non_Ntwk,MATCH($H6,RIN_Asset_Cat_Non_Ntwk,0),MATCH($AT$4,Direct_Cost_Type,0))*M6</f>
        <v>0</v>
      </c>
      <c r="AX6" s="47">
        <f t="shared" ref="AX6:AX9" si="12">INDEX(Direct_Cost_Splits_Non_Ntwk,MATCH($H6,RIN_Asset_Cat_Non_Ntwk,0),MATCH($AT$4,Direct_Cost_Type,0))*N6</f>
        <v>0</v>
      </c>
      <c r="AY6" s="47">
        <f t="shared" ref="AY6:AY9" si="13">INDEX(Direct_Cost_Splits_Non_Ntwk,MATCH($H6,RIN_Asset_Cat_Non_Ntwk,0),MATCH($AT$4,Direct_Cost_Type,0))*O6</f>
        <v>0</v>
      </c>
      <c r="AZ6" s="47">
        <f t="shared" ref="AZ6:AZ9" si="14">INDEX(Direct_Cost_Splits_Non_Ntwk,MATCH($H6,RIN_Asset_Cat_Non_Ntwk,0),MATCH($AT$4,Direct_Cost_Type,0))*P6</f>
        <v>0</v>
      </c>
      <c r="BA6" s="47">
        <f t="shared" ref="BA6:BA9" si="15">INDEX(Direct_Cost_Splits_Non_Ntwk,MATCH($H6,RIN_Asset_Cat_Non_Ntwk,0),MATCH($AT$4,Direct_Cost_Type,0))*Q6</f>
        <v>0</v>
      </c>
      <c r="BC6" s="373">
        <f t="shared" ref="BC6:BC9" si="16">S6+AB6+AK6+AT6</f>
        <v>25835.796892035396</v>
      </c>
      <c r="BD6" s="373">
        <f t="shared" ref="BD6:BD9" si="17">T6+AC6+AL6+AU6</f>
        <v>17031.0274500374</v>
      </c>
      <c r="BE6" s="47">
        <f t="shared" ref="BE6:BE9" si="18">U6+AD6+AM6+AV6</f>
        <v>4318.7332748522895</v>
      </c>
      <c r="BF6" s="47">
        <f t="shared" ref="BF6:BF9" si="19">V6+AE6+AN6+AW6</f>
        <v>13188.76284991353</v>
      </c>
      <c r="BG6" s="47">
        <f t="shared" ref="BG6:BG9" si="20">W6+AF6+AO6+AX6</f>
        <v>6149.7561037969626</v>
      </c>
      <c r="BH6" s="47">
        <f t="shared" ref="BH6:BH9" si="21">X6+AG6+AP6+AY6</f>
        <v>13789.390506498046</v>
      </c>
      <c r="BI6" s="47">
        <f t="shared" ref="BI6:BI9" si="22">Y6+AH6+AQ6+AZ6</f>
        <v>7326.521485300349</v>
      </c>
      <c r="BJ6" s="47">
        <f t="shared" ref="BJ6:BJ9" si="23">Z6+AI6+AR6+BA6</f>
        <v>6636.9876180738102</v>
      </c>
      <c r="BL6" s="375">
        <f>BC6*(1+AusNet_Overheads!H$22)*RFM_PTRM!L$3</f>
        <v>27661.400654235753</v>
      </c>
      <c r="BM6" s="375">
        <f>BD6*(1+AusNet_Overheads!I$22)*RFM_PTRM!M$3</f>
        <v>18449.643719473566</v>
      </c>
      <c r="BN6" s="375">
        <f>BE6*(1+AusNet_Overheads!J$22)*RFM_PTRM!N$3</f>
        <v>4839.9419233270082</v>
      </c>
      <c r="BO6" s="641" t="str">
        <f>E6</f>
        <v>Non-network general assets - IT</v>
      </c>
    </row>
    <row r="7" spans="2:67" x14ac:dyDescent="0.3">
      <c r="B7" s="7"/>
      <c r="C7" s="7"/>
      <c r="D7" s="7" t="s">
        <v>604</v>
      </c>
      <c r="E7" s="7" t="s">
        <v>49</v>
      </c>
      <c r="F7" s="7" t="s">
        <v>49</v>
      </c>
      <c r="G7" s="7" t="s">
        <v>34</v>
      </c>
      <c r="H7" s="7" t="s">
        <v>166</v>
      </c>
      <c r="I7" s="7" t="s">
        <v>333</v>
      </c>
      <c r="J7" s="45">
        <v>18086.468446025367</v>
      </c>
      <c r="K7" s="45">
        <v>27385.712521537622</v>
      </c>
      <c r="L7" s="45">
        <v>13415.129181857737</v>
      </c>
      <c r="M7" s="45">
        <v>18685.56385016895</v>
      </c>
      <c r="N7" s="45">
        <v>17689.928473572309</v>
      </c>
      <c r="O7" s="45">
        <v>16440.741563470612</v>
      </c>
      <c r="P7" s="45">
        <v>15485.536297578037</v>
      </c>
      <c r="Q7" s="45">
        <v>14518.978634931582</v>
      </c>
      <c r="S7" s="47">
        <f>INDEX(Direct_Cost_Splits_Non_Ntwk,MATCH($H7,RIN_Asset_Cat_Non_Ntwk,0),MATCH($S$4,Direct_Cost_Type,0))*J7*HLOOKUP(S$5,Escalators!$I$25:$U$30,3,FALSE)</f>
        <v>3295.8217202247124</v>
      </c>
      <c r="T7" s="47">
        <f>INDEX(Direct_Cost_Splits_Non_Ntwk,MATCH($H7,RIN_Asset_Cat_Non_Ntwk,0),MATCH($S$4,Direct_Cost_Type,0))*K7*HLOOKUP(T$5,Escalators!$I$25:$U$30,3,FALSE)</f>
        <v>5038.0561134673126</v>
      </c>
      <c r="U7" s="47">
        <f>INDEX(Direct_Cost_Splits_Non_Ntwk,MATCH($H7,RIN_Asset_Cat_Non_Ntwk,0),MATCH($S$4,Direct_Cost_Type,0))*L7*HLOOKUP(U$5,Escalators!$I$25:$U$30,3,FALSE)</f>
        <v>2478.9863680519297</v>
      </c>
      <c r="V7" s="47">
        <f>INDEX(Direct_Cost_Splits_Non_Ntwk,MATCH($H7,RIN_Asset_Cat_Non_Ntwk,0),MATCH($S$4,Direct_Cost_Type,0))*M7*HLOOKUP(V$5,Escalators!$I$25:$U$30,3,FALSE)</f>
        <v>3485.948609215478</v>
      </c>
      <c r="W7" s="47">
        <f>INDEX(Direct_Cost_Splits_Non_Ntwk,MATCH($H7,RIN_Asset_Cat_Non_Ntwk,0),MATCH($S$4,Direct_Cost_Type,0))*N7*HLOOKUP(W$5,Escalators!$I$25:$U$30,3,FALSE)</f>
        <v>3334.0651150467102</v>
      </c>
      <c r="X7" s="47">
        <f>INDEX(Direct_Cost_Splits_Non_Ntwk,MATCH($H7,RIN_Asset_Cat_Non_Ntwk,0),MATCH($S$4,Direct_Cost_Type,0))*O7*HLOOKUP(X$5,Escalators!$I$25:$U$30,3,FALSE)</f>
        <v>3131.9810025074376</v>
      </c>
      <c r="Y7" s="47">
        <f>INDEX(Direct_Cost_Splits_Non_Ntwk,MATCH($H7,RIN_Asset_Cat_Non_Ntwk,0),MATCH($S$4,Direct_Cost_Type,0))*P7*HLOOKUP(Y$5,Escalators!$I$25:$U$30,3,FALSE)</f>
        <v>2977.9063928619157</v>
      </c>
      <c r="Z7" s="47">
        <f>INDEX(Direct_Cost_Splits_Non_Ntwk,MATCH($H7,RIN_Asset_Cat_Non_Ntwk,0),MATCH($S$4,Direct_Cost_Type,0))*Q7*HLOOKUP(Z$5,Escalators!$I$25:$U$30,3,FALSE)</f>
        <v>2816.6049052756525</v>
      </c>
      <c r="AB7" s="47">
        <f t="shared" si="0"/>
        <v>6229.6115641050756</v>
      </c>
      <c r="AC7" s="47">
        <f t="shared" si="1"/>
        <v>9432.5960827869112</v>
      </c>
      <c r="AD7" s="47">
        <f t="shared" si="2"/>
        <v>4620.6391333201236</v>
      </c>
      <c r="AE7" s="47">
        <f t="shared" si="3"/>
        <v>6435.9609500447741</v>
      </c>
      <c r="AF7" s="47">
        <f t="shared" si="4"/>
        <v>6093.0293448954244</v>
      </c>
      <c r="AG7" s="47">
        <f t="shared" si="5"/>
        <v>5662.7657340572141</v>
      </c>
      <c r="AH7" s="47">
        <f t="shared" si="6"/>
        <v>5333.7596714167148</v>
      </c>
      <c r="AI7" s="47">
        <f t="shared" si="7"/>
        <v>5000.8434467504258</v>
      </c>
      <c r="AK7" s="47">
        <f>INDEX(Direct_Cost_Splits_Non_Ntwk,MATCH($H7,RIN_Asset_Cat_Non_Ntwk,0),MATCH($AK$4,Direct_Cost_Type,0))*J7*HLOOKUP(AK$5,Escalators!$I$25:$U$30,6,FALSE)</f>
        <v>8668.0432950549093</v>
      </c>
      <c r="AL7" s="47">
        <f>INDEX(Direct_Cost_Splits_Non_Ntwk,MATCH($H7,RIN_Asset_Cat_Non_Ntwk,0),MATCH($AK$4,Direct_Cost_Type,0))*K7*HLOOKUP(AL$5,Escalators!$I$25:$U$30,6,FALSE)</f>
        <v>13250.136755416874</v>
      </c>
      <c r="AM7" s="47">
        <f>INDEX(Direct_Cost_Splits_Non_Ntwk,MATCH($H7,RIN_Asset_Cat_Non_Ntwk,0),MATCH($AK$4,Direct_Cost_Type,0))*L7*HLOOKUP(AM$5,Escalators!$I$25:$U$30,6,FALSE)</f>
        <v>6519.7583456243428</v>
      </c>
      <c r="AN7" s="47">
        <f>INDEX(Direct_Cost_Splits_Non_Ntwk,MATCH($H7,RIN_Asset_Cat_Non_Ntwk,0),MATCH($AK$4,Direct_Cost_Type,0))*M7*HLOOKUP(AN$5,Escalators!$I$25:$U$30,6,FALSE)</f>
        <v>9168.0788689492674</v>
      </c>
      <c r="AO7" s="47">
        <f>INDEX(Direct_Cost_Splits_Non_Ntwk,MATCH($H7,RIN_Asset_Cat_Non_Ntwk,0),MATCH($AK$4,Direct_Cost_Type,0))*N7*HLOOKUP(AO$5,Escalators!$I$25:$U$30,6,FALSE)</f>
        <v>8768.6237967345787</v>
      </c>
      <c r="AP7" s="47">
        <f>INDEX(Direct_Cost_Splits_Non_Ntwk,MATCH($H7,RIN_Asset_Cat_Non_Ntwk,0),MATCH($AK$4,Direct_Cost_Type,0))*O7*HLOOKUP(AP$5,Escalators!$I$25:$U$30,6,FALSE)</f>
        <v>8237.1406081919249</v>
      </c>
      <c r="AQ7" s="47">
        <f>INDEX(Direct_Cost_Splits_Non_Ntwk,MATCH($H7,RIN_Asset_Cat_Non_Ntwk,0),MATCH($AK$4,Direct_Cost_Type,0))*P7*HLOOKUP(AQ$5,Escalators!$I$25:$U$30,6,FALSE)</f>
        <v>7831.9228808856651</v>
      </c>
      <c r="AR7" s="47">
        <f>INDEX(Direct_Cost_Splits_Non_Ntwk,MATCH($H7,RIN_Asset_Cat_Non_Ntwk,0),MATCH($AK$4,Direct_Cost_Type,0))*Q7*HLOOKUP(AR$5,Escalators!$I$25:$U$30,6,FALSE)</f>
        <v>7407.6983940529353</v>
      </c>
      <c r="AT7" s="47">
        <f t="shared" si="8"/>
        <v>0</v>
      </c>
      <c r="AU7" s="47">
        <f t="shared" si="9"/>
        <v>0</v>
      </c>
      <c r="AV7" s="47">
        <f t="shared" si="10"/>
        <v>0</v>
      </c>
      <c r="AW7" s="47">
        <f t="shared" si="11"/>
        <v>0</v>
      </c>
      <c r="AX7" s="47">
        <f t="shared" si="12"/>
        <v>0</v>
      </c>
      <c r="AY7" s="47">
        <f t="shared" si="13"/>
        <v>0</v>
      </c>
      <c r="AZ7" s="47">
        <f t="shared" si="14"/>
        <v>0</v>
      </c>
      <c r="BA7" s="47">
        <f t="shared" si="15"/>
        <v>0</v>
      </c>
      <c r="BC7" s="373">
        <f t="shared" si="16"/>
        <v>18193.476579384696</v>
      </c>
      <c r="BD7" s="373">
        <f t="shared" si="17"/>
        <v>27720.7889516711</v>
      </c>
      <c r="BE7" s="47">
        <f t="shared" si="18"/>
        <v>13619.383846996396</v>
      </c>
      <c r="BF7" s="47">
        <f t="shared" si="19"/>
        <v>19089.988428209519</v>
      </c>
      <c r="BG7" s="47">
        <f t="shared" si="20"/>
        <v>18195.718256676715</v>
      </c>
      <c r="BH7" s="47">
        <f t="shared" si="21"/>
        <v>17031.887344756578</v>
      </c>
      <c r="BI7" s="47">
        <f t="shared" si="22"/>
        <v>16143.588945164294</v>
      </c>
      <c r="BJ7" s="47">
        <f t="shared" si="23"/>
        <v>15225.146746079014</v>
      </c>
      <c r="BL7" s="375">
        <f>BC7*(1+AusNet_Overheads!H$22)*RFM_PTRM!L$3</f>
        <v>19479.06027667208</v>
      </c>
      <c r="BM7" s="375">
        <f>BD7*(1+AusNet_Overheads!I$22)*RFM_PTRM!M$3</f>
        <v>30029.819473981752</v>
      </c>
      <c r="BN7" s="375">
        <f>BE7*(1+AusNet_Overheads!J$22)*RFM_PTRM!N$3</f>
        <v>15263.046512918778</v>
      </c>
      <c r="BO7" s="641" t="str">
        <f t="shared" ref="BO7:BO23" si="24">E7</f>
        <v>Non-network general assets - IT</v>
      </c>
    </row>
    <row r="8" spans="2:67" x14ac:dyDescent="0.3">
      <c r="B8" s="7"/>
      <c r="C8" s="7"/>
      <c r="D8" s="7" t="s">
        <v>605</v>
      </c>
      <c r="E8" s="7" t="s">
        <v>49</v>
      </c>
      <c r="F8" s="7" t="s">
        <v>49</v>
      </c>
      <c r="G8" s="7" t="s">
        <v>34</v>
      </c>
      <c r="H8" s="7" t="s">
        <v>166</v>
      </c>
      <c r="I8" s="7" t="s">
        <v>329</v>
      </c>
      <c r="J8" s="45">
        <v>0</v>
      </c>
      <c r="K8" s="45">
        <v>0</v>
      </c>
      <c r="L8" s="45">
        <v>0</v>
      </c>
      <c r="M8" s="45">
        <v>619.99999999999989</v>
      </c>
      <c r="N8" s="45">
        <v>139.99999999999997</v>
      </c>
      <c r="O8" s="45">
        <v>819.99999999999989</v>
      </c>
      <c r="P8" s="45">
        <v>199.99999999999997</v>
      </c>
      <c r="Q8" s="45">
        <v>219.99999999999994</v>
      </c>
      <c r="S8" s="47">
        <f>INDEX(Direct_Cost_Splits_Non_Ntwk,MATCH($H8,RIN_Asset_Cat_Non_Ntwk,0),MATCH($S$4,Direct_Cost_Type,0))*J8*HLOOKUP(S$5,Escalators!$I$25:$U$30,3,FALSE)</f>
        <v>0</v>
      </c>
      <c r="T8" s="47">
        <f>INDEX(Direct_Cost_Splits_Non_Ntwk,MATCH($H8,RIN_Asset_Cat_Non_Ntwk,0),MATCH($S$4,Direct_Cost_Type,0))*K8*HLOOKUP(T$5,Escalators!$I$25:$U$30,3,FALSE)</f>
        <v>0</v>
      </c>
      <c r="U8" s="47">
        <f>INDEX(Direct_Cost_Splits_Non_Ntwk,MATCH($H8,RIN_Asset_Cat_Non_Ntwk,0),MATCH($S$4,Direct_Cost_Type,0))*L8*HLOOKUP(U$5,Escalators!$I$25:$U$30,3,FALSE)</f>
        <v>0</v>
      </c>
      <c r="V8" s="47">
        <f>INDEX(Direct_Cost_Splits_Non_Ntwk,MATCH($H8,RIN_Asset_Cat_Non_Ntwk,0),MATCH($S$4,Direct_Cost_Type,0))*M8*HLOOKUP(V$5,Escalators!$I$25:$U$30,3,FALSE)</f>
        <v>115.66619851795664</v>
      </c>
      <c r="W8" s="47">
        <f>INDEX(Direct_Cost_Splits_Non_Ntwk,MATCH($H8,RIN_Asset_Cat_Non_Ntwk,0),MATCH($S$4,Direct_Cost_Type,0))*N8*HLOOKUP(W$5,Escalators!$I$25:$U$30,3,FALSE)</f>
        <v>26.386150560408673</v>
      </c>
      <c r="X8" s="47">
        <f>INDEX(Direct_Cost_Splits_Non_Ntwk,MATCH($H8,RIN_Asset_Cat_Non_Ntwk,0),MATCH($S$4,Direct_Cost_Type,0))*O8*HLOOKUP(X$5,Escalators!$I$25:$U$30,3,FALSE)</f>
        <v>156.21098428810475</v>
      </c>
      <c r="Y8" s="47">
        <f>INDEX(Direct_Cost_Splits_Non_Ntwk,MATCH($H8,RIN_Asset_Cat_Non_Ntwk,0),MATCH($S$4,Direct_Cost_Type,0))*P8*HLOOKUP(Y$5,Escalators!$I$25:$U$30,3,FALSE)</f>
        <v>38.460487717531166</v>
      </c>
      <c r="Z8" s="47">
        <f>INDEX(Direct_Cost_Splits_Non_Ntwk,MATCH($H8,RIN_Asset_Cat_Non_Ntwk,0),MATCH($S$4,Direct_Cost_Type,0))*Q8*HLOOKUP(Z$5,Escalators!$I$25:$U$30,3,FALSE)</f>
        <v>42.678834010389977</v>
      </c>
      <c r="AB8" s="47">
        <f t="shared" si="0"/>
        <v>0</v>
      </c>
      <c r="AC8" s="47">
        <f t="shared" si="1"/>
        <v>0</v>
      </c>
      <c r="AD8" s="47">
        <f t="shared" si="2"/>
        <v>0</v>
      </c>
      <c r="AE8" s="47">
        <f t="shared" si="3"/>
        <v>213.54965903218812</v>
      </c>
      <c r="AF8" s="47">
        <f t="shared" si="4"/>
        <v>48.220890749203761</v>
      </c>
      <c r="AG8" s="47">
        <f t="shared" si="5"/>
        <v>282.43664581676495</v>
      </c>
      <c r="AH8" s="47">
        <f t="shared" si="6"/>
        <v>68.886986784576806</v>
      </c>
      <c r="AI8" s="47">
        <f t="shared" si="7"/>
        <v>75.775685463034478</v>
      </c>
      <c r="AK8" s="47">
        <f>INDEX(Direct_Cost_Splits_Non_Ntwk,MATCH($H8,RIN_Asset_Cat_Non_Ntwk,0),MATCH($AK$4,Direct_Cost_Type,0))*J8*HLOOKUP(AK$5,Escalators!$I$25:$U$30,6,FALSE)</f>
        <v>0</v>
      </c>
      <c r="AL8" s="47">
        <f>INDEX(Direct_Cost_Splits_Non_Ntwk,MATCH($H8,RIN_Asset_Cat_Non_Ntwk,0),MATCH($AK$4,Direct_Cost_Type,0))*K8*HLOOKUP(AL$5,Escalators!$I$25:$U$30,6,FALSE)</f>
        <v>0</v>
      </c>
      <c r="AM8" s="47">
        <f>INDEX(Direct_Cost_Splits_Non_Ntwk,MATCH($H8,RIN_Asset_Cat_Non_Ntwk,0),MATCH($AK$4,Direct_Cost_Type,0))*L8*HLOOKUP(AM$5,Escalators!$I$25:$U$30,6,FALSE)</f>
        <v>0</v>
      </c>
      <c r="AN8" s="47">
        <f>INDEX(Direct_Cost_Splits_Non_Ntwk,MATCH($H8,RIN_Asset_Cat_Non_Ntwk,0),MATCH($AK$4,Direct_Cost_Type,0))*M8*HLOOKUP(AN$5,Escalators!$I$25:$U$30,6,FALSE)</f>
        <v>304.20323113220633</v>
      </c>
      <c r="AO8" s="47">
        <f>INDEX(Direct_Cost_Splits_Non_Ntwk,MATCH($H8,RIN_Asset_Cat_Non_Ntwk,0),MATCH($AK$4,Direct_Cost_Type,0))*N8*HLOOKUP(AO$5,Escalators!$I$25:$U$30,6,FALSE)</f>
        <v>69.395833531877344</v>
      </c>
      <c r="AP8" s="47">
        <f>INDEX(Direct_Cost_Splits_Non_Ntwk,MATCH($H8,RIN_Asset_Cat_Non_Ntwk,0),MATCH($AK$4,Direct_Cost_Type,0))*O8*HLOOKUP(AP$5,Escalators!$I$25:$U$30,6,FALSE)</f>
        <v>410.83641346963202</v>
      </c>
      <c r="AQ8" s="47">
        <f>INDEX(Direct_Cost_Splits_Non_Ntwk,MATCH($H8,RIN_Asset_Cat_Non_Ntwk,0),MATCH($AK$4,Direct_Cost_Type,0))*P8*HLOOKUP(AQ$5,Escalators!$I$25:$U$30,6,FALSE)</f>
        <v>101.15145811398975</v>
      </c>
      <c r="AR8" s="47">
        <f>INDEX(Direct_Cost_Splits_Non_Ntwk,MATCH($H8,RIN_Asset_Cat_Non_Ntwk,0),MATCH($AK$4,Direct_Cost_Type,0))*Q8*HLOOKUP(AR$5,Escalators!$I$25:$U$30,6,FALSE)</f>
        <v>112.24575003993213</v>
      </c>
      <c r="AT8" s="47">
        <f t="shared" si="8"/>
        <v>0</v>
      </c>
      <c r="AU8" s="47">
        <f t="shared" si="9"/>
        <v>0</v>
      </c>
      <c r="AV8" s="47">
        <f t="shared" si="10"/>
        <v>0</v>
      </c>
      <c r="AW8" s="47">
        <f t="shared" si="11"/>
        <v>0</v>
      </c>
      <c r="AX8" s="47">
        <f t="shared" si="12"/>
        <v>0</v>
      </c>
      <c r="AY8" s="47">
        <f t="shared" si="13"/>
        <v>0</v>
      </c>
      <c r="AZ8" s="47">
        <f t="shared" si="14"/>
        <v>0</v>
      </c>
      <c r="BA8" s="47">
        <f t="shared" si="15"/>
        <v>0</v>
      </c>
      <c r="BC8" s="373">
        <f t="shared" si="16"/>
        <v>0</v>
      </c>
      <c r="BD8" s="373">
        <f t="shared" si="17"/>
        <v>0</v>
      </c>
      <c r="BE8" s="47">
        <f t="shared" si="18"/>
        <v>0</v>
      </c>
      <c r="BF8" s="47">
        <f t="shared" si="19"/>
        <v>633.419088682351</v>
      </c>
      <c r="BG8" s="47">
        <f t="shared" si="20"/>
        <v>144.00287484148978</v>
      </c>
      <c r="BH8" s="47">
        <f t="shared" si="21"/>
        <v>849.4840435745017</v>
      </c>
      <c r="BI8" s="47">
        <f t="shared" si="22"/>
        <v>208.4989326160977</v>
      </c>
      <c r="BJ8" s="47">
        <f t="shared" si="23"/>
        <v>230.7002695133566</v>
      </c>
      <c r="BL8" s="375">
        <f>BC8*(1+AusNet_Overheads!H$22)*RFM_PTRM!L$3</f>
        <v>0</v>
      </c>
      <c r="BM8" s="375">
        <f>BD8*(1+AusNet_Overheads!I$22)*RFM_PTRM!M$3</f>
        <v>0</v>
      </c>
      <c r="BN8" s="375">
        <f>BE8*(1+AusNet_Overheads!J$22)*RFM_PTRM!N$3</f>
        <v>0</v>
      </c>
      <c r="BO8" s="641" t="str">
        <f t="shared" si="24"/>
        <v>Non-network general assets - IT</v>
      </c>
    </row>
    <row r="9" spans="2:67" x14ac:dyDescent="0.3">
      <c r="B9" s="7"/>
      <c r="C9" s="7"/>
      <c r="D9" s="7" t="s">
        <v>606</v>
      </c>
      <c r="E9" s="7" t="s">
        <v>49</v>
      </c>
      <c r="F9" s="7" t="s">
        <v>49</v>
      </c>
      <c r="G9" s="7" t="s">
        <v>34</v>
      </c>
      <c r="H9" s="7" t="s">
        <v>166</v>
      </c>
      <c r="I9" s="7" t="s">
        <v>333</v>
      </c>
      <c r="J9" s="45">
        <v>0</v>
      </c>
      <c r="K9" s="45">
        <v>0</v>
      </c>
      <c r="L9" s="45">
        <v>0</v>
      </c>
      <c r="M9" s="45">
        <v>1249.0452880242547</v>
      </c>
      <c r="N9" s="45">
        <v>1604.7860346134412</v>
      </c>
      <c r="O9" s="45">
        <v>1894.8515664477009</v>
      </c>
      <c r="P9" s="45">
        <v>2257.8895591207684</v>
      </c>
      <c r="Q9" s="45">
        <v>2620.9275517938349</v>
      </c>
      <c r="S9" s="47">
        <f>INDEX(Direct_Cost_Splits_Non_Ntwk,MATCH($H9,RIN_Asset_Cat_Non_Ntwk,0),MATCH($S$4,Direct_Cost_Type,0))*J9*HLOOKUP(S$5,Escalators!$I$25:$U$30,3,FALSE)</f>
        <v>0</v>
      </c>
      <c r="T9" s="47">
        <f>INDEX(Direct_Cost_Splits_Non_Ntwk,MATCH($H9,RIN_Asset_Cat_Non_Ntwk,0),MATCH($S$4,Direct_Cost_Type,0))*K9*HLOOKUP(T$5,Escalators!$I$25:$U$30,3,FALSE)</f>
        <v>0</v>
      </c>
      <c r="U9" s="47">
        <f>INDEX(Direct_Cost_Splits_Non_Ntwk,MATCH($H9,RIN_Asset_Cat_Non_Ntwk,0),MATCH($S$4,Direct_Cost_Type,0))*L9*HLOOKUP(U$5,Escalators!$I$25:$U$30,3,FALSE)</f>
        <v>0</v>
      </c>
      <c r="V9" s="47">
        <f>INDEX(Direct_Cost_Splits_Non_Ntwk,MATCH($H9,RIN_Asset_Cat_Non_Ntwk,0),MATCH($S$4,Direct_Cost_Type,0))*M9*HLOOKUP(V$5,Escalators!$I$25:$U$30,3,FALSE)</f>
        <v>233.01987135892225</v>
      </c>
      <c r="W9" s="47">
        <f>INDEX(Direct_Cost_Splits_Non_Ntwk,MATCH($H9,RIN_Asset_Cat_Non_Ntwk,0),MATCH($S$4,Direct_Cost_Type,0))*N9*HLOOKUP(W$5,Escalators!$I$25:$U$30,3,FALSE)</f>
        <v>302.45804233251056</v>
      </c>
      <c r="X9" s="47">
        <f>INDEX(Direct_Cost_Splits_Non_Ntwk,MATCH($H9,RIN_Asset_Cat_Non_Ntwk,0),MATCH($S$4,Direct_Cost_Type,0))*O9*HLOOKUP(X$5,Escalators!$I$25:$U$30,3,FALSE)</f>
        <v>360.97149789591765</v>
      </c>
      <c r="Y9" s="47">
        <f>INDEX(Direct_Cost_Splits_Non_Ntwk,MATCH($H9,RIN_Asset_Cat_Non_Ntwk,0),MATCH($S$4,Direct_Cost_Type,0))*P9*HLOOKUP(Y$5,Escalators!$I$25:$U$30,3,FALSE)</f>
        <v>434.19766828053082</v>
      </c>
      <c r="Z9" s="47">
        <f>INDEX(Direct_Cost_Splits_Non_Ntwk,MATCH($H9,RIN_Asset_Cat_Non_Ntwk,0),MATCH($S$4,Direct_Cost_Type,0))*Q9*HLOOKUP(Z$5,Escalators!$I$25:$U$30,3,FALSE)</f>
        <v>508.44605425575855</v>
      </c>
      <c r="AB9" s="47">
        <f t="shared" si="0"/>
        <v>0</v>
      </c>
      <c r="AC9" s="47">
        <f t="shared" si="1"/>
        <v>0</v>
      </c>
      <c r="AD9" s="47">
        <f t="shared" si="2"/>
        <v>0</v>
      </c>
      <c r="AE9" s="47">
        <f t="shared" si="3"/>
        <v>430.2148312473239</v>
      </c>
      <c r="AF9" s="47">
        <f t="shared" si="4"/>
        <v>552.74437179244785</v>
      </c>
      <c r="AG9" s="47">
        <f t="shared" si="5"/>
        <v>652.65307408308729</v>
      </c>
      <c r="AH9" s="47">
        <f t="shared" si="6"/>
        <v>777.69604110093178</v>
      </c>
      <c r="AI9" s="47">
        <f t="shared" si="7"/>
        <v>902.73900811877593</v>
      </c>
      <c r="AK9" s="47">
        <f>INDEX(Direct_Cost_Splits_Non_Ntwk,MATCH($H9,RIN_Asset_Cat_Non_Ntwk,0),MATCH($AK$4,Direct_Cost_Type,0))*J9*HLOOKUP(AK$5,Escalators!$I$25:$U$30,6,FALSE)</f>
        <v>0</v>
      </c>
      <c r="AL9" s="47">
        <f>INDEX(Direct_Cost_Splits_Non_Ntwk,MATCH($H9,RIN_Asset_Cat_Non_Ntwk,0),MATCH($AK$4,Direct_Cost_Type,0))*K9*HLOOKUP(AL$5,Escalators!$I$25:$U$30,6,FALSE)</f>
        <v>0</v>
      </c>
      <c r="AM9" s="47">
        <f>INDEX(Direct_Cost_Splits_Non_Ntwk,MATCH($H9,RIN_Asset_Cat_Non_Ntwk,0),MATCH($AK$4,Direct_Cost_Type,0))*L9*HLOOKUP(AM$5,Escalators!$I$25:$U$30,6,FALSE)</f>
        <v>0</v>
      </c>
      <c r="AN9" s="47">
        <f>INDEX(Direct_Cost_Splits_Non_Ntwk,MATCH($H9,RIN_Asset_Cat_Non_Ntwk,0),MATCH($AK$4,Direct_Cost_Type,0))*M9*HLOOKUP(AN$5,Escalators!$I$25:$U$30,6,FALSE)</f>
        <v>612.84453620554132</v>
      </c>
      <c r="AO9" s="47">
        <f>INDEX(Direct_Cost_Splits_Non_Ntwk,MATCH($H9,RIN_Asset_Cat_Non_Ntwk,0),MATCH($AK$4,Direct_Cost_Type,0))*N9*HLOOKUP(AO$5,Escalators!$I$25:$U$30,6,FALSE)</f>
        <v>795.4676036593994</v>
      </c>
      <c r="AP9" s="47">
        <f>INDEX(Direct_Cost_Splits_Non_Ntwk,MATCH($H9,RIN_Asset_Cat_Non_Ntwk,0),MATCH($AK$4,Direct_Cost_Type,0))*O9*HLOOKUP(AP$5,Escalators!$I$25:$U$30,6,FALSE)</f>
        <v>949.35856294718008</v>
      </c>
      <c r="AQ9" s="47">
        <f>INDEX(Direct_Cost_Splits_Non_Ntwk,MATCH($H9,RIN_Asset_Cat_Non_Ntwk,0),MATCH($AK$4,Direct_Cost_Type,0))*P9*HLOOKUP(AQ$5,Escalators!$I$25:$U$30,6,FALSE)</f>
        <v>1141.9441058270961</v>
      </c>
      <c r="AR9" s="47">
        <f>INDEX(Direct_Cost_Splits_Non_Ntwk,MATCH($H9,RIN_Asset_Cat_Non_Ntwk,0),MATCH($AK$4,Direct_Cost_Type,0))*Q9*HLOOKUP(AR$5,Escalators!$I$25:$U$30,6,FALSE)</f>
        <v>1337.2180856882826</v>
      </c>
      <c r="AT9" s="47">
        <f t="shared" si="8"/>
        <v>0</v>
      </c>
      <c r="AU9" s="47">
        <f t="shared" si="9"/>
        <v>0</v>
      </c>
      <c r="AV9" s="47">
        <f t="shared" si="10"/>
        <v>0</v>
      </c>
      <c r="AW9" s="47">
        <f t="shared" si="11"/>
        <v>0</v>
      </c>
      <c r="AX9" s="47">
        <f t="shared" si="12"/>
        <v>0</v>
      </c>
      <c r="AY9" s="47">
        <f t="shared" si="13"/>
        <v>0</v>
      </c>
      <c r="AZ9" s="47">
        <f t="shared" si="14"/>
        <v>0</v>
      </c>
      <c r="BA9" s="47">
        <f t="shared" si="15"/>
        <v>0</v>
      </c>
      <c r="BC9" s="373">
        <f t="shared" si="16"/>
        <v>0</v>
      </c>
      <c r="BD9" s="373">
        <f t="shared" si="17"/>
        <v>0</v>
      </c>
      <c r="BE9" s="47">
        <f t="shared" si="18"/>
        <v>0</v>
      </c>
      <c r="BF9" s="47">
        <f t="shared" si="19"/>
        <v>1276.0792388117875</v>
      </c>
      <c r="BG9" s="47">
        <f t="shared" si="20"/>
        <v>1650.6700177843577</v>
      </c>
      <c r="BH9" s="47">
        <f t="shared" si="21"/>
        <v>1962.9831349261849</v>
      </c>
      <c r="BI9" s="47">
        <f t="shared" si="22"/>
        <v>2353.8378152085588</v>
      </c>
      <c r="BJ9" s="47">
        <f t="shared" si="23"/>
        <v>2748.4031480628173</v>
      </c>
      <c r="BL9" s="375">
        <f>BC9*(1+AusNet_Overheads!H$22)*RFM_PTRM!L$3</f>
        <v>0</v>
      </c>
      <c r="BM9" s="375">
        <f>BD9*(1+AusNet_Overheads!I$22)*RFM_PTRM!M$3</f>
        <v>0</v>
      </c>
      <c r="BN9" s="375">
        <f>BE9*(1+AusNet_Overheads!J$22)*RFM_PTRM!N$3</f>
        <v>0</v>
      </c>
      <c r="BO9" s="641" t="str">
        <f t="shared" si="24"/>
        <v>Non-network general assets - IT</v>
      </c>
    </row>
    <row r="10" spans="2:67" x14ac:dyDescent="0.3">
      <c r="B10" s="7"/>
      <c r="C10" s="7"/>
      <c r="D10" s="7"/>
      <c r="E10" s="7" t="s">
        <v>49</v>
      </c>
      <c r="F10" s="7" t="s">
        <v>49</v>
      </c>
      <c r="G10" s="7" t="s">
        <v>34</v>
      </c>
      <c r="H10" s="7" t="s">
        <v>166</v>
      </c>
      <c r="I10" s="7" t="s">
        <v>333</v>
      </c>
      <c r="J10" s="45"/>
      <c r="K10" s="45"/>
      <c r="L10" s="45"/>
      <c r="M10" s="45"/>
      <c r="N10" s="45"/>
      <c r="O10" s="45"/>
      <c r="P10" s="45"/>
      <c r="Q10" s="45"/>
      <c r="S10" s="47">
        <f>INDEX(Direct_Cost_Splits_Non_Ntwk,MATCH($H10,RIN_Asset_Cat_Non_Ntwk,0),MATCH($S$4,Direct_Cost_Type,0))*J10*HLOOKUP(S$5,Escalators!$I$25:$U$30,3,FALSE)</f>
        <v>0</v>
      </c>
      <c r="T10" s="47">
        <f>INDEX(Direct_Cost_Splits_Non_Ntwk,MATCH($H10,RIN_Asset_Cat_Non_Ntwk,0),MATCH($S$4,Direct_Cost_Type,0))*K10*HLOOKUP(T$5,Escalators!$I$25:$U$30,3,FALSE)</f>
        <v>0</v>
      </c>
      <c r="U10" s="47">
        <f>INDEX(Direct_Cost_Splits_Non_Ntwk,MATCH($H10,RIN_Asset_Cat_Non_Ntwk,0),MATCH($S$4,Direct_Cost_Type,0))*L10*HLOOKUP(U$5,Escalators!$I$25:$U$30,3,FALSE)</f>
        <v>0</v>
      </c>
      <c r="V10" s="47">
        <f>INDEX(Direct_Cost_Splits_Non_Ntwk,MATCH($H10,RIN_Asset_Cat_Non_Ntwk,0),MATCH($S$4,Direct_Cost_Type,0))*M10*HLOOKUP(V$5,Escalators!$I$25:$U$30,3,FALSE)</f>
        <v>0</v>
      </c>
      <c r="W10" s="47">
        <f>INDEX(Direct_Cost_Splits_Non_Ntwk,MATCH($H10,RIN_Asset_Cat_Non_Ntwk,0),MATCH($S$4,Direct_Cost_Type,0))*N10*HLOOKUP(W$5,Escalators!$I$25:$U$30,3,FALSE)</f>
        <v>0</v>
      </c>
      <c r="X10" s="47">
        <f>INDEX(Direct_Cost_Splits_Non_Ntwk,MATCH($H10,RIN_Asset_Cat_Non_Ntwk,0),MATCH($S$4,Direct_Cost_Type,0))*O10*HLOOKUP(X$5,Escalators!$I$25:$U$30,3,FALSE)</f>
        <v>0</v>
      </c>
      <c r="Y10" s="47">
        <f>INDEX(Direct_Cost_Splits_Non_Ntwk,MATCH($H10,RIN_Asset_Cat_Non_Ntwk,0),MATCH($S$4,Direct_Cost_Type,0))*P10*HLOOKUP(Y$5,Escalators!$I$25:$U$30,3,FALSE)</f>
        <v>0</v>
      </c>
      <c r="Z10" s="47">
        <f>INDEX(Direct_Cost_Splits_Non_Ntwk,MATCH($H10,RIN_Asset_Cat_Non_Ntwk,0),MATCH($S$4,Direct_Cost_Type,0))*Q10*HLOOKUP(Z$5,Escalators!$I$25:$U$30,3,FALSE)</f>
        <v>0</v>
      </c>
      <c r="AB10" s="47">
        <f t="shared" ref="AB10" si="25">INDEX(Direct_Cost_Splits_Non_Ntwk,MATCH($H10,RIN_Asset_Cat_Non_Ntwk,0),MATCH($AB$4,Direct_Cost_Type,0))*J10</f>
        <v>0</v>
      </c>
      <c r="AC10" s="47">
        <f t="shared" ref="AC10:AD10" si="26">INDEX(Direct_Cost_Splits_Non_Ntwk,MATCH($H10,RIN_Asset_Cat_Non_Ntwk,0),MATCH($AB$4,Direct_Cost_Type,0))*K10</f>
        <v>0</v>
      </c>
      <c r="AD10" s="47">
        <f t="shared" si="26"/>
        <v>0</v>
      </c>
      <c r="AE10" s="47">
        <f t="shared" ref="AE10" si="27">INDEX(Direct_Cost_Splits_Non_Ntwk,MATCH($H10,RIN_Asset_Cat_Non_Ntwk,0),MATCH($AB$4,Direct_Cost_Type,0))*M10</f>
        <v>0</v>
      </c>
      <c r="AF10" s="47">
        <f t="shared" ref="AF10" si="28">INDEX(Direct_Cost_Splits_Non_Ntwk,MATCH($H10,RIN_Asset_Cat_Non_Ntwk,0),MATCH($AB$4,Direct_Cost_Type,0))*N10</f>
        <v>0</v>
      </c>
      <c r="AG10" s="47">
        <f t="shared" ref="AG10" si="29">INDEX(Direct_Cost_Splits_Non_Ntwk,MATCH($H10,RIN_Asset_Cat_Non_Ntwk,0),MATCH($AB$4,Direct_Cost_Type,0))*O10</f>
        <v>0</v>
      </c>
      <c r="AH10" s="47">
        <f t="shared" ref="AH10" si="30">INDEX(Direct_Cost_Splits_Non_Ntwk,MATCH($H10,RIN_Asset_Cat_Non_Ntwk,0),MATCH($AB$4,Direct_Cost_Type,0))*P10</f>
        <v>0</v>
      </c>
      <c r="AI10" s="47">
        <f t="shared" ref="AI10" si="31">INDEX(Direct_Cost_Splits_Non_Ntwk,MATCH($H10,RIN_Asset_Cat_Non_Ntwk,0),MATCH($AB$4,Direct_Cost_Type,0))*Q10</f>
        <v>0</v>
      </c>
      <c r="AK10" s="47">
        <f>INDEX(Direct_Cost_Splits_Non_Ntwk,MATCH($H10,RIN_Asset_Cat_Non_Ntwk,0),MATCH($AK$4,Direct_Cost_Type,0))*J10*HLOOKUP(AK$5,Escalators!$I$25:$U$30,6,FALSE)</f>
        <v>0</v>
      </c>
      <c r="AL10" s="47">
        <f>INDEX(Direct_Cost_Splits_Non_Ntwk,MATCH($H10,RIN_Asset_Cat_Non_Ntwk,0),MATCH($AK$4,Direct_Cost_Type,0))*K10*HLOOKUP(AL$5,Escalators!$I$25:$U$30,6,FALSE)</f>
        <v>0</v>
      </c>
      <c r="AM10" s="47">
        <f>INDEX(Direct_Cost_Splits_Non_Ntwk,MATCH($H10,RIN_Asset_Cat_Non_Ntwk,0),MATCH($AK$4,Direct_Cost_Type,0))*L10*HLOOKUP(AM$5,Escalators!$I$25:$U$30,6,FALSE)</f>
        <v>0</v>
      </c>
      <c r="AN10" s="47">
        <f>INDEX(Direct_Cost_Splits_Non_Ntwk,MATCH($H10,RIN_Asset_Cat_Non_Ntwk,0),MATCH($AK$4,Direct_Cost_Type,0))*M10*HLOOKUP(AN$5,Escalators!$I$25:$U$30,6,FALSE)</f>
        <v>0</v>
      </c>
      <c r="AO10" s="47">
        <f>INDEX(Direct_Cost_Splits_Non_Ntwk,MATCH($H10,RIN_Asset_Cat_Non_Ntwk,0),MATCH($AK$4,Direct_Cost_Type,0))*N10*HLOOKUP(AO$5,Escalators!$I$25:$U$30,6,FALSE)</f>
        <v>0</v>
      </c>
      <c r="AP10" s="47">
        <f>INDEX(Direct_Cost_Splits_Non_Ntwk,MATCH($H10,RIN_Asset_Cat_Non_Ntwk,0),MATCH($AK$4,Direct_Cost_Type,0))*O10*HLOOKUP(AP$5,Escalators!$I$25:$U$30,6,FALSE)</f>
        <v>0</v>
      </c>
      <c r="AQ10" s="47">
        <f>INDEX(Direct_Cost_Splits_Non_Ntwk,MATCH($H10,RIN_Asset_Cat_Non_Ntwk,0),MATCH($AK$4,Direct_Cost_Type,0))*P10*HLOOKUP(AQ$5,Escalators!$I$25:$U$30,6,FALSE)</f>
        <v>0</v>
      </c>
      <c r="AR10" s="47">
        <f>INDEX(Direct_Cost_Splits_Non_Ntwk,MATCH($H10,RIN_Asset_Cat_Non_Ntwk,0),MATCH($AK$4,Direct_Cost_Type,0))*Q10*HLOOKUP(AR$5,Escalators!$I$25:$U$30,6,FALSE)</f>
        <v>0</v>
      </c>
      <c r="AT10" s="47">
        <f t="shared" ref="AT10" si="32">INDEX(Direct_Cost_Splits_Non_Ntwk,MATCH($H10,RIN_Asset_Cat_Non_Ntwk,0),MATCH($AT$4,Direct_Cost_Type,0))*J10</f>
        <v>0</v>
      </c>
      <c r="AU10" s="47">
        <f t="shared" ref="AU10:AV10" si="33">INDEX(Direct_Cost_Splits_Non_Ntwk,MATCH($H10,RIN_Asset_Cat_Non_Ntwk,0),MATCH($AT$4,Direct_Cost_Type,0))*K10</f>
        <v>0</v>
      </c>
      <c r="AV10" s="47">
        <f t="shared" si="33"/>
        <v>0</v>
      </c>
      <c r="AW10" s="47">
        <f t="shared" ref="AW10" si="34">INDEX(Direct_Cost_Splits_Non_Ntwk,MATCH($H10,RIN_Asset_Cat_Non_Ntwk,0),MATCH($AT$4,Direct_Cost_Type,0))*M10</f>
        <v>0</v>
      </c>
      <c r="AX10" s="47">
        <f t="shared" ref="AX10" si="35">INDEX(Direct_Cost_Splits_Non_Ntwk,MATCH($H10,RIN_Asset_Cat_Non_Ntwk,0),MATCH($AT$4,Direct_Cost_Type,0))*N10</f>
        <v>0</v>
      </c>
      <c r="AY10" s="47">
        <f t="shared" ref="AY10" si="36">INDEX(Direct_Cost_Splits_Non_Ntwk,MATCH($H10,RIN_Asset_Cat_Non_Ntwk,0),MATCH($AT$4,Direct_Cost_Type,0))*O10</f>
        <v>0</v>
      </c>
      <c r="AZ10" s="47">
        <f t="shared" ref="AZ10" si="37">INDEX(Direct_Cost_Splits_Non_Ntwk,MATCH($H10,RIN_Asset_Cat_Non_Ntwk,0),MATCH($AT$4,Direct_Cost_Type,0))*P10</f>
        <v>0</v>
      </c>
      <c r="BA10" s="47">
        <f t="shared" ref="BA10" si="38">INDEX(Direct_Cost_Splits_Non_Ntwk,MATCH($H10,RIN_Asset_Cat_Non_Ntwk,0),MATCH($AT$4,Direct_Cost_Type,0))*Q10</f>
        <v>0</v>
      </c>
      <c r="BC10" s="373">
        <f t="shared" ref="BC10:BC23" si="39">S10+AB10+AK10+AT10</f>
        <v>0</v>
      </c>
      <c r="BD10" s="373">
        <f t="shared" ref="BD10:BE23" si="40">T10+AC10+AL10+AU10</f>
        <v>0</v>
      </c>
      <c r="BE10" s="47">
        <f t="shared" si="40"/>
        <v>0</v>
      </c>
      <c r="BF10" s="47">
        <f t="shared" ref="BF10:BF23" si="41">V10+AE10+AN10+AW10</f>
        <v>0</v>
      </c>
      <c r="BG10" s="47">
        <f t="shared" ref="BG10:BG23" si="42">W10+AF10+AO10+AX10</f>
        <v>0</v>
      </c>
      <c r="BH10" s="47">
        <f t="shared" ref="BH10:BH23" si="43">X10+AG10+AP10+AY10</f>
        <v>0</v>
      </c>
      <c r="BI10" s="47">
        <f t="shared" ref="BI10:BI23" si="44">Y10+AH10+AQ10+AZ10</f>
        <v>0</v>
      </c>
      <c r="BJ10" s="47">
        <f t="shared" ref="BJ10:BJ23" si="45">Z10+AI10+AR10+BA10</f>
        <v>0</v>
      </c>
      <c r="BL10" s="375">
        <f>BC10*(1+AusNet_Overheads!H$22)*RFM_PTRM!L$3</f>
        <v>0</v>
      </c>
      <c r="BM10" s="375">
        <f>BD10*(1+AusNet_Overheads!I$22)*RFM_PTRM!M$3</f>
        <v>0</v>
      </c>
      <c r="BN10" s="375">
        <f>BE10*(1+AusNet_Overheads!J$22)*RFM_PTRM!N$3</f>
        <v>0</v>
      </c>
      <c r="BO10" s="641" t="str">
        <f t="shared" si="24"/>
        <v>Non-network general assets - IT</v>
      </c>
    </row>
    <row r="11" spans="2:67" x14ac:dyDescent="0.3">
      <c r="B11" s="7"/>
      <c r="C11" s="7"/>
      <c r="D11" s="7"/>
      <c r="E11" s="7" t="s">
        <v>49</v>
      </c>
      <c r="F11" s="7" t="s">
        <v>49</v>
      </c>
      <c r="G11" s="7" t="s">
        <v>34</v>
      </c>
      <c r="H11" s="7" t="s">
        <v>166</v>
      </c>
      <c r="I11" s="7" t="s">
        <v>332</v>
      </c>
      <c r="J11" s="45"/>
      <c r="K11" s="45"/>
      <c r="L11" s="45"/>
      <c r="M11" s="45"/>
      <c r="N11" s="45"/>
      <c r="O11" s="45"/>
      <c r="P11" s="45"/>
      <c r="Q11" s="45"/>
      <c r="S11" s="47">
        <f>INDEX(Direct_Cost_Splits_Non_Ntwk,MATCH($H11,RIN_Asset_Cat_Non_Ntwk,0),MATCH($S$4,Direct_Cost_Type,0))*J11*HLOOKUP(S$5,Escalators!$I$25:$U$30,3,FALSE)</f>
        <v>0</v>
      </c>
      <c r="T11" s="47">
        <f>INDEX(Direct_Cost_Splits_Non_Ntwk,MATCH($H11,RIN_Asset_Cat_Non_Ntwk,0),MATCH($S$4,Direct_Cost_Type,0))*K11*HLOOKUP(T$5,Escalators!$I$25:$U$30,3,FALSE)</f>
        <v>0</v>
      </c>
      <c r="U11" s="47">
        <f>INDEX(Direct_Cost_Splits_Non_Ntwk,MATCH($H11,RIN_Asset_Cat_Non_Ntwk,0),MATCH($S$4,Direct_Cost_Type,0))*L11*HLOOKUP(U$5,Escalators!$I$25:$U$30,3,FALSE)</f>
        <v>0</v>
      </c>
      <c r="V11" s="47">
        <f>INDEX(Direct_Cost_Splits_Non_Ntwk,MATCH($H11,RIN_Asset_Cat_Non_Ntwk,0),MATCH($S$4,Direct_Cost_Type,0))*M11*HLOOKUP(V$5,Escalators!$I$25:$U$30,3,FALSE)</f>
        <v>0</v>
      </c>
      <c r="W11" s="47">
        <f>INDEX(Direct_Cost_Splits_Non_Ntwk,MATCH($H11,RIN_Asset_Cat_Non_Ntwk,0),MATCH($S$4,Direct_Cost_Type,0))*N11*HLOOKUP(W$5,Escalators!$I$25:$U$30,3,FALSE)</f>
        <v>0</v>
      </c>
      <c r="X11" s="47">
        <f>INDEX(Direct_Cost_Splits_Non_Ntwk,MATCH($H11,RIN_Asset_Cat_Non_Ntwk,0),MATCH($S$4,Direct_Cost_Type,0))*O11*HLOOKUP(X$5,Escalators!$I$25:$U$30,3,FALSE)</f>
        <v>0</v>
      </c>
      <c r="Y11" s="47">
        <f>INDEX(Direct_Cost_Splits_Non_Ntwk,MATCH($H11,RIN_Asset_Cat_Non_Ntwk,0),MATCH($S$4,Direct_Cost_Type,0))*P11*HLOOKUP(Y$5,Escalators!$I$25:$U$30,3,FALSE)</f>
        <v>0</v>
      </c>
      <c r="Z11" s="47">
        <f>INDEX(Direct_Cost_Splits_Non_Ntwk,MATCH($H11,RIN_Asset_Cat_Non_Ntwk,0),MATCH($S$4,Direct_Cost_Type,0))*Q11*HLOOKUP(Z$5,Escalators!$I$25:$U$30,3,FALSE)</f>
        <v>0</v>
      </c>
      <c r="AB11" s="47">
        <f t="shared" ref="AB11" si="46">INDEX(Direct_Cost_Splits_Non_Ntwk,MATCH($H11,RIN_Asset_Cat_Non_Ntwk,0),MATCH($AB$4,Direct_Cost_Type,0))*J11</f>
        <v>0</v>
      </c>
      <c r="AC11" s="47">
        <f t="shared" ref="AC11:AD11" si="47">INDEX(Direct_Cost_Splits_Non_Ntwk,MATCH($H11,RIN_Asset_Cat_Non_Ntwk,0),MATCH($AB$4,Direct_Cost_Type,0))*K11</f>
        <v>0</v>
      </c>
      <c r="AD11" s="47">
        <f t="shared" si="47"/>
        <v>0</v>
      </c>
      <c r="AE11" s="47">
        <f t="shared" ref="AE11" si="48">INDEX(Direct_Cost_Splits_Non_Ntwk,MATCH($H11,RIN_Asset_Cat_Non_Ntwk,0),MATCH($AB$4,Direct_Cost_Type,0))*M11</f>
        <v>0</v>
      </c>
      <c r="AF11" s="47">
        <f t="shared" ref="AF11" si="49">INDEX(Direct_Cost_Splits_Non_Ntwk,MATCH($H11,RIN_Asset_Cat_Non_Ntwk,0),MATCH($AB$4,Direct_Cost_Type,0))*N11</f>
        <v>0</v>
      </c>
      <c r="AG11" s="47">
        <f t="shared" ref="AG11" si="50">INDEX(Direct_Cost_Splits_Non_Ntwk,MATCH($H11,RIN_Asset_Cat_Non_Ntwk,0),MATCH($AB$4,Direct_Cost_Type,0))*O11</f>
        <v>0</v>
      </c>
      <c r="AH11" s="47">
        <f t="shared" ref="AH11" si="51">INDEX(Direct_Cost_Splits_Non_Ntwk,MATCH($H11,RIN_Asset_Cat_Non_Ntwk,0),MATCH($AB$4,Direct_Cost_Type,0))*P11</f>
        <v>0</v>
      </c>
      <c r="AI11" s="47">
        <f t="shared" ref="AI11" si="52">INDEX(Direct_Cost_Splits_Non_Ntwk,MATCH($H11,RIN_Asset_Cat_Non_Ntwk,0),MATCH($AB$4,Direct_Cost_Type,0))*Q11</f>
        <v>0</v>
      </c>
      <c r="AK11" s="47">
        <f>INDEX(Direct_Cost_Splits_Non_Ntwk,MATCH($H11,RIN_Asset_Cat_Non_Ntwk,0),MATCH($AK$4,Direct_Cost_Type,0))*J11*HLOOKUP(AK$5,Escalators!$I$25:$U$30,6,FALSE)</f>
        <v>0</v>
      </c>
      <c r="AL11" s="47">
        <f>INDEX(Direct_Cost_Splits_Non_Ntwk,MATCH($H11,RIN_Asset_Cat_Non_Ntwk,0),MATCH($AK$4,Direct_Cost_Type,0))*K11*HLOOKUP(AL$5,Escalators!$I$25:$U$30,6,FALSE)</f>
        <v>0</v>
      </c>
      <c r="AM11" s="47">
        <f>INDEX(Direct_Cost_Splits_Non_Ntwk,MATCH($H11,RIN_Asset_Cat_Non_Ntwk,0),MATCH($AK$4,Direct_Cost_Type,0))*L11*HLOOKUP(AM$5,Escalators!$I$25:$U$30,6,FALSE)</f>
        <v>0</v>
      </c>
      <c r="AN11" s="47">
        <f>INDEX(Direct_Cost_Splits_Non_Ntwk,MATCH($H11,RIN_Asset_Cat_Non_Ntwk,0),MATCH($AK$4,Direct_Cost_Type,0))*M11*HLOOKUP(AN$5,Escalators!$I$25:$U$30,6,FALSE)</f>
        <v>0</v>
      </c>
      <c r="AO11" s="47">
        <f>INDEX(Direct_Cost_Splits_Non_Ntwk,MATCH($H11,RIN_Asset_Cat_Non_Ntwk,0),MATCH($AK$4,Direct_Cost_Type,0))*N11*HLOOKUP(AO$5,Escalators!$I$25:$U$30,6,FALSE)</f>
        <v>0</v>
      </c>
      <c r="AP11" s="47">
        <f>INDEX(Direct_Cost_Splits_Non_Ntwk,MATCH($H11,RIN_Asset_Cat_Non_Ntwk,0),MATCH($AK$4,Direct_Cost_Type,0))*O11*HLOOKUP(AP$5,Escalators!$I$25:$U$30,6,FALSE)</f>
        <v>0</v>
      </c>
      <c r="AQ11" s="47">
        <f>INDEX(Direct_Cost_Splits_Non_Ntwk,MATCH($H11,RIN_Asset_Cat_Non_Ntwk,0),MATCH($AK$4,Direct_Cost_Type,0))*P11*HLOOKUP(AQ$5,Escalators!$I$25:$U$30,6,FALSE)</f>
        <v>0</v>
      </c>
      <c r="AR11" s="47">
        <f>INDEX(Direct_Cost_Splits_Non_Ntwk,MATCH($H11,RIN_Asset_Cat_Non_Ntwk,0),MATCH($AK$4,Direct_Cost_Type,0))*Q11*HLOOKUP(AR$5,Escalators!$I$25:$U$30,6,FALSE)</f>
        <v>0</v>
      </c>
      <c r="AT11" s="47">
        <f t="shared" ref="AT11" si="53">INDEX(Direct_Cost_Splits_Non_Ntwk,MATCH($H11,RIN_Asset_Cat_Non_Ntwk,0),MATCH($AT$4,Direct_Cost_Type,0))*J11</f>
        <v>0</v>
      </c>
      <c r="AU11" s="47">
        <f t="shared" ref="AU11:AV11" si="54">INDEX(Direct_Cost_Splits_Non_Ntwk,MATCH($H11,RIN_Asset_Cat_Non_Ntwk,0),MATCH($AT$4,Direct_Cost_Type,0))*K11</f>
        <v>0</v>
      </c>
      <c r="AV11" s="47">
        <f t="shared" si="54"/>
        <v>0</v>
      </c>
      <c r="AW11" s="47">
        <f t="shared" ref="AW11" si="55">INDEX(Direct_Cost_Splits_Non_Ntwk,MATCH($H11,RIN_Asset_Cat_Non_Ntwk,0),MATCH($AT$4,Direct_Cost_Type,0))*M11</f>
        <v>0</v>
      </c>
      <c r="AX11" s="47">
        <f t="shared" ref="AX11" si="56">INDEX(Direct_Cost_Splits_Non_Ntwk,MATCH($H11,RIN_Asset_Cat_Non_Ntwk,0),MATCH($AT$4,Direct_Cost_Type,0))*N11</f>
        <v>0</v>
      </c>
      <c r="AY11" s="47">
        <f t="shared" ref="AY11" si="57">INDEX(Direct_Cost_Splits_Non_Ntwk,MATCH($H11,RIN_Asset_Cat_Non_Ntwk,0),MATCH($AT$4,Direct_Cost_Type,0))*O11</f>
        <v>0</v>
      </c>
      <c r="AZ11" s="47">
        <f t="shared" ref="AZ11" si="58">INDEX(Direct_Cost_Splits_Non_Ntwk,MATCH($H11,RIN_Asset_Cat_Non_Ntwk,0),MATCH($AT$4,Direct_Cost_Type,0))*P11</f>
        <v>0</v>
      </c>
      <c r="BA11" s="47">
        <f t="shared" ref="BA11" si="59">INDEX(Direct_Cost_Splits_Non_Ntwk,MATCH($H11,RIN_Asset_Cat_Non_Ntwk,0),MATCH($AT$4,Direct_Cost_Type,0))*Q11</f>
        <v>0</v>
      </c>
      <c r="BC11" s="373">
        <f t="shared" si="39"/>
        <v>0</v>
      </c>
      <c r="BD11" s="373">
        <f t="shared" si="40"/>
        <v>0</v>
      </c>
      <c r="BE11" s="47">
        <f t="shared" si="40"/>
        <v>0</v>
      </c>
      <c r="BF11" s="47">
        <f t="shared" si="41"/>
        <v>0</v>
      </c>
      <c r="BG11" s="47">
        <f t="shared" si="42"/>
        <v>0</v>
      </c>
      <c r="BH11" s="47">
        <f t="shared" si="43"/>
        <v>0</v>
      </c>
      <c r="BI11" s="47">
        <f t="shared" si="44"/>
        <v>0</v>
      </c>
      <c r="BJ11" s="47">
        <f t="shared" si="45"/>
        <v>0</v>
      </c>
      <c r="BL11" s="375">
        <f>BC11*(1+AusNet_Overheads!H$22)*RFM_PTRM!L$3</f>
        <v>0</v>
      </c>
      <c r="BM11" s="375">
        <f>BD11*(1+AusNet_Overheads!I$22)*RFM_PTRM!M$3</f>
        <v>0</v>
      </c>
      <c r="BN11" s="375">
        <f>BE11*(1+AusNet_Overheads!J$22)*RFM_PTRM!N$3</f>
        <v>0</v>
      </c>
      <c r="BO11" s="641" t="str">
        <f t="shared" si="24"/>
        <v>Non-network general assets - IT</v>
      </c>
    </row>
    <row r="12" spans="2:67" x14ac:dyDescent="0.3">
      <c r="B12" s="7"/>
      <c r="C12" s="7"/>
      <c r="D12" s="7"/>
      <c r="E12" s="7"/>
      <c r="F12" s="7"/>
      <c r="G12" s="7"/>
      <c r="H12" s="7"/>
      <c r="I12" s="7"/>
      <c r="J12" s="45"/>
      <c r="K12" s="45"/>
      <c r="L12" s="45"/>
      <c r="M12" s="45"/>
      <c r="N12" s="45"/>
      <c r="O12" s="45"/>
      <c r="P12" s="45"/>
      <c r="Q12" s="45"/>
      <c r="S12" s="47"/>
      <c r="T12" s="47"/>
      <c r="U12" s="47"/>
      <c r="V12" s="47"/>
      <c r="W12" s="47"/>
      <c r="X12" s="47"/>
      <c r="Y12" s="47"/>
      <c r="Z12" s="47"/>
      <c r="AB12" s="47"/>
      <c r="AC12" s="47"/>
      <c r="AD12" s="47"/>
      <c r="AE12" s="47"/>
      <c r="AF12" s="47"/>
      <c r="AG12" s="47"/>
      <c r="AH12" s="47"/>
      <c r="AI12" s="47"/>
      <c r="AK12" s="47"/>
      <c r="AL12" s="47"/>
      <c r="AM12" s="47"/>
      <c r="AN12" s="47"/>
      <c r="AO12" s="47"/>
      <c r="AP12" s="47"/>
      <c r="AQ12" s="47"/>
      <c r="AR12" s="47"/>
      <c r="AT12" s="83"/>
      <c r="AU12" s="83"/>
      <c r="AV12" s="83"/>
      <c r="AW12" s="83"/>
      <c r="AX12" s="83"/>
      <c r="AY12" s="83"/>
      <c r="AZ12" s="83"/>
      <c r="BA12" s="83"/>
      <c r="BC12" s="373">
        <f t="shared" si="39"/>
        <v>0</v>
      </c>
      <c r="BD12" s="373">
        <f t="shared" si="40"/>
        <v>0</v>
      </c>
      <c r="BE12" s="47">
        <f t="shared" si="40"/>
        <v>0</v>
      </c>
      <c r="BF12" s="47">
        <f t="shared" si="41"/>
        <v>0</v>
      </c>
      <c r="BG12" s="47">
        <f t="shared" si="42"/>
        <v>0</v>
      </c>
      <c r="BH12" s="47">
        <f t="shared" si="43"/>
        <v>0</v>
      </c>
      <c r="BI12" s="47">
        <f t="shared" si="44"/>
        <v>0</v>
      </c>
      <c r="BJ12" s="47">
        <f t="shared" si="45"/>
        <v>0</v>
      </c>
      <c r="BL12" s="375">
        <f>BC12*(1+AusNet_Overheads!H$22)*RFM_PTRM!L$3</f>
        <v>0</v>
      </c>
      <c r="BM12" s="375">
        <f>BD12*(1+AusNet_Overheads!I$22)*RFM_PTRM!M$3</f>
        <v>0</v>
      </c>
      <c r="BN12" s="375">
        <f>BE12*(1+AusNet_Overheads!J$22)*RFM_PTRM!N$3</f>
        <v>0</v>
      </c>
      <c r="BO12" s="641">
        <f t="shared" si="24"/>
        <v>0</v>
      </c>
    </row>
    <row r="13" spans="2:67" x14ac:dyDescent="0.3">
      <c r="B13" s="7"/>
      <c r="C13" s="7"/>
      <c r="D13" s="7"/>
      <c r="E13" s="7"/>
      <c r="F13" s="7"/>
      <c r="G13" s="7"/>
      <c r="H13" s="7"/>
      <c r="I13" s="7"/>
      <c r="J13" s="45"/>
      <c r="K13" s="45"/>
      <c r="L13" s="45"/>
      <c r="M13" s="45"/>
      <c r="N13" s="45"/>
      <c r="O13" s="45"/>
      <c r="P13" s="45"/>
      <c r="Q13" s="45"/>
      <c r="S13" s="47"/>
      <c r="T13" s="47"/>
      <c r="U13" s="47"/>
      <c r="V13" s="47"/>
      <c r="W13" s="47"/>
      <c r="X13" s="47"/>
      <c r="Y13" s="47"/>
      <c r="Z13" s="47"/>
      <c r="AB13" s="47"/>
      <c r="AC13" s="47"/>
      <c r="AD13" s="47"/>
      <c r="AE13" s="47"/>
      <c r="AF13" s="47"/>
      <c r="AG13" s="47"/>
      <c r="AH13" s="47"/>
      <c r="AI13" s="47"/>
      <c r="AK13" s="47"/>
      <c r="AL13" s="47"/>
      <c r="AM13" s="47"/>
      <c r="AN13" s="47"/>
      <c r="AO13" s="47"/>
      <c r="AP13" s="47"/>
      <c r="AQ13" s="47"/>
      <c r="AR13" s="47"/>
      <c r="AT13" s="83"/>
      <c r="AU13" s="83"/>
      <c r="AV13" s="83"/>
      <c r="AW13" s="83"/>
      <c r="AX13" s="83"/>
      <c r="AY13" s="83"/>
      <c r="AZ13" s="83"/>
      <c r="BA13" s="83"/>
      <c r="BC13" s="373">
        <f t="shared" ref="BC13:BC19" si="60">S13+AB13+AK13+AT13</f>
        <v>0</v>
      </c>
      <c r="BD13" s="373">
        <f t="shared" ref="BD13:BE19" si="61">T13+AC13+AL13+AU13</f>
        <v>0</v>
      </c>
      <c r="BE13" s="47">
        <f t="shared" si="61"/>
        <v>0</v>
      </c>
      <c r="BF13" s="47">
        <f t="shared" ref="BF13:BF19" si="62">V13+AE13+AN13+AW13</f>
        <v>0</v>
      </c>
      <c r="BG13" s="47">
        <f t="shared" ref="BG13:BG19" si="63">W13+AF13+AO13+AX13</f>
        <v>0</v>
      </c>
      <c r="BH13" s="47">
        <f t="shared" ref="BH13:BH19" si="64">X13+AG13+AP13+AY13</f>
        <v>0</v>
      </c>
      <c r="BI13" s="47">
        <f t="shared" ref="BI13:BI19" si="65">Y13+AH13+AQ13+AZ13</f>
        <v>0</v>
      </c>
      <c r="BJ13" s="47">
        <f t="shared" ref="BJ13:BJ19" si="66">Z13+AI13+AR13+BA13</f>
        <v>0</v>
      </c>
      <c r="BL13" s="375">
        <f>BC13*(1+AusNet_Overheads!H$22)*RFM_PTRM!L$3</f>
        <v>0</v>
      </c>
      <c r="BM13" s="375">
        <f>BD13*(1+AusNet_Overheads!I$22)*RFM_PTRM!M$3</f>
        <v>0</v>
      </c>
      <c r="BN13" s="375">
        <f>BE13*(1+AusNet_Overheads!J$22)*RFM_PTRM!N$3</f>
        <v>0</v>
      </c>
      <c r="BO13" s="641">
        <f t="shared" si="24"/>
        <v>0</v>
      </c>
    </row>
    <row r="14" spans="2:67" x14ac:dyDescent="0.3">
      <c r="B14" s="7"/>
      <c r="C14" s="7"/>
      <c r="D14" s="7"/>
      <c r="E14" s="7"/>
      <c r="F14" s="7"/>
      <c r="G14" s="7"/>
      <c r="H14" s="7"/>
      <c r="I14" s="7"/>
      <c r="J14" s="45"/>
      <c r="K14" s="45"/>
      <c r="L14" s="45"/>
      <c r="M14" s="45"/>
      <c r="N14" s="45"/>
      <c r="O14" s="45"/>
      <c r="P14" s="45"/>
      <c r="Q14" s="45"/>
      <c r="S14" s="47"/>
      <c r="T14" s="47"/>
      <c r="U14" s="47"/>
      <c r="V14" s="47"/>
      <c r="W14" s="47"/>
      <c r="X14" s="47"/>
      <c r="Y14" s="47"/>
      <c r="Z14" s="47"/>
      <c r="AB14" s="47"/>
      <c r="AC14" s="47"/>
      <c r="AD14" s="47"/>
      <c r="AE14" s="47"/>
      <c r="AF14" s="47"/>
      <c r="AG14" s="47"/>
      <c r="AH14" s="47"/>
      <c r="AI14" s="47"/>
      <c r="AK14" s="47"/>
      <c r="AL14" s="47"/>
      <c r="AM14" s="47"/>
      <c r="AN14" s="47"/>
      <c r="AO14" s="47"/>
      <c r="AP14" s="47"/>
      <c r="AQ14" s="47"/>
      <c r="AR14" s="47"/>
      <c r="AT14" s="83"/>
      <c r="AU14" s="83"/>
      <c r="AV14" s="83"/>
      <c r="AW14" s="83"/>
      <c r="AX14" s="83"/>
      <c r="AY14" s="83"/>
      <c r="AZ14" s="83"/>
      <c r="BA14" s="83"/>
      <c r="BC14" s="373">
        <f t="shared" si="60"/>
        <v>0</v>
      </c>
      <c r="BD14" s="373">
        <f t="shared" si="61"/>
        <v>0</v>
      </c>
      <c r="BE14" s="47">
        <f t="shared" si="61"/>
        <v>0</v>
      </c>
      <c r="BF14" s="47">
        <f t="shared" si="62"/>
        <v>0</v>
      </c>
      <c r="BG14" s="47">
        <f t="shared" si="63"/>
        <v>0</v>
      </c>
      <c r="BH14" s="47">
        <f t="shared" si="64"/>
        <v>0</v>
      </c>
      <c r="BI14" s="47">
        <f t="shared" si="65"/>
        <v>0</v>
      </c>
      <c r="BJ14" s="47">
        <f t="shared" si="66"/>
        <v>0</v>
      </c>
      <c r="BL14" s="375">
        <f>BC14*(1+AusNet_Overheads!H$22)*RFM_PTRM!L$3</f>
        <v>0</v>
      </c>
      <c r="BM14" s="375">
        <f>BD14*(1+AusNet_Overheads!I$22)*RFM_PTRM!M$3</f>
        <v>0</v>
      </c>
      <c r="BN14" s="375">
        <f>BE14*(1+AusNet_Overheads!J$22)*RFM_PTRM!N$3</f>
        <v>0</v>
      </c>
      <c r="BO14" s="641">
        <f t="shared" si="24"/>
        <v>0</v>
      </c>
    </row>
    <row r="15" spans="2:67" x14ac:dyDescent="0.3">
      <c r="B15" s="7"/>
      <c r="C15" s="7"/>
      <c r="D15" s="7"/>
      <c r="E15" s="7"/>
      <c r="F15" s="7"/>
      <c r="G15" s="7"/>
      <c r="H15" s="7"/>
      <c r="I15" s="7"/>
      <c r="J15" s="45"/>
      <c r="K15" s="45"/>
      <c r="L15" s="45"/>
      <c r="M15" s="45"/>
      <c r="N15" s="45"/>
      <c r="O15" s="45"/>
      <c r="P15" s="45"/>
      <c r="Q15" s="45"/>
      <c r="S15" s="47"/>
      <c r="T15" s="47"/>
      <c r="U15" s="47"/>
      <c r="V15" s="47"/>
      <c r="W15" s="47"/>
      <c r="X15" s="47"/>
      <c r="Y15" s="47"/>
      <c r="Z15" s="47"/>
      <c r="AB15" s="47"/>
      <c r="AC15" s="47"/>
      <c r="AD15" s="47"/>
      <c r="AE15" s="47"/>
      <c r="AF15" s="47"/>
      <c r="AG15" s="47"/>
      <c r="AH15" s="47"/>
      <c r="AI15" s="47"/>
      <c r="AK15" s="47"/>
      <c r="AL15" s="47"/>
      <c r="AM15" s="47"/>
      <c r="AN15" s="47"/>
      <c r="AO15" s="47"/>
      <c r="AP15" s="47"/>
      <c r="AQ15" s="47"/>
      <c r="AR15" s="47"/>
      <c r="AT15" s="83"/>
      <c r="AU15" s="83"/>
      <c r="AV15" s="83"/>
      <c r="AW15" s="83"/>
      <c r="AX15" s="83"/>
      <c r="AY15" s="83"/>
      <c r="AZ15" s="83"/>
      <c r="BA15" s="83"/>
      <c r="BC15" s="373">
        <f t="shared" si="60"/>
        <v>0</v>
      </c>
      <c r="BD15" s="373">
        <f t="shared" si="61"/>
        <v>0</v>
      </c>
      <c r="BE15" s="47">
        <f t="shared" si="61"/>
        <v>0</v>
      </c>
      <c r="BF15" s="47">
        <f t="shared" si="62"/>
        <v>0</v>
      </c>
      <c r="BG15" s="47">
        <f t="shared" si="63"/>
        <v>0</v>
      </c>
      <c r="BH15" s="47">
        <f t="shared" si="64"/>
        <v>0</v>
      </c>
      <c r="BI15" s="47">
        <f t="shared" si="65"/>
        <v>0</v>
      </c>
      <c r="BJ15" s="47">
        <f t="shared" si="66"/>
        <v>0</v>
      </c>
      <c r="BL15" s="375">
        <f>BC15*(1+AusNet_Overheads!H$22)*RFM_PTRM!L$3</f>
        <v>0</v>
      </c>
      <c r="BM15" s="375">
        <f>BD15*(1+AusNet_Overheads!I$22)*RFM_PTRM!M$3</f>
        <v>0</v>
      </c>
      <c r="BN15" s="375">
        <f>BE15*(1+AusNet_Overheads!J$22)*RFM_PTRM!N$3</f>
        <v>0</v>
      </c>
      <c r="BO15" s="641">
        <f t="shared" si="24"/>
        <v>0</v>
      </c>
    </row>
    <row r="16" spans="2:67"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47"/>
      <c r="AC16" s="47"/>
      <c r="AD16" s="47"/>
      <c r="AE16" s="47"/>
      <c r="AF16" s="47"/>
      <c r="AG16" s="47"/>
      <c r="AH16" s="47"/>
      <c r="AI16" s="47"/>
      <c r="AK16" s="47"/>
      <c r="AL16" s="47"/>
      <c r="AM16" s="47"/>
      <c r="AN16" s="47"/>
      <c r="AO16" s="47"/>
      <c r="AP16" s="47"/>
      <c r="AQ16" s="47"/>
      <c r="AR16" s="47"/>
      <c r="AT16" s="83"/>
      <c r="AU16" s="83"/>
      <c r="AV16" s="83"/>
      <c r="AW16" s="83"/>
      <c r="AX16" s="83"/>
      <c r="AY16" s="83"/>
      <c r="AZ16" s="83"/>
      <c r="BA16" s="83"/>
      <c r="BC16" s="373">
        <f t="shared" si="60"/>
        <v>0</v>
      </c>
      <c r="BD16" s="373">
        <f t="shared" si="61"/>
        <v>0</v>
      </c>
      <c r="BE16" s="47">
        <f t="shared" si="61"/>
        <v>0</v>
      </c>
      <c r="BF16" s="47">
        <f t="shared" si="62"/>
        <v>0</v>
      </c>
      <c r="BG16" s="47">
        <f t="shared" si="63"/>
        <v>0</v>
      </c>
      <c r="BH16" s="47">
        <f t="shared" si="64"/>
        <v>0</v>
      </c>
      <c r="BI16" s="47">
        <f t="shared" si="65"/>
        <v>0</v>
      </c>
      <c r="BJ16" s="47">
        <f t="shared" si="66"/>
        <v>0</v>
      </c>
      <c r="BL16" s="375">
        <f>BC16*(1+AusNet_Overheads!H$22)*RFM_PTRM!L$3</f>
        <v>0</v>
      </c>
      <c r="BM16" s="375">
        <f>BD16*(1+AusNet_Overheads!I$22)*RFM_PTRM!M$3</f>
        <v>0</v>
      </c>
      <c r="BN16" s="375">
        <f>BE16*(1+AusNet_Overheads!J$22)*RFM_PTRM!N$3</f>
        <v>0</v>
      </c>
      <c r="BO16" s="641">
        <f t="shared" si="24"/>
        <v>0</v>
      </c>
    </row>
    <row r="17" spans="2:67" x14ac:dyDescent="0.3">
      <c r="B17" s="7"/>
      <c r="C17" s="7"/>
      <c r="D17" s="7"/>
      <c r="E17" s="7"/>
      <c r="F17" s="7"/>
      <c r="G17" s="7"/>
      <c r="H17" s="7"/>
      <c r="I17" s="7"/>
      <c r="J17" s="45"/>
      <c r="K17" s="45"/>
      <c r="L17" s="45"/>
      <c r="M17" s="45"/>
      <c r="N17" s="45"/>
      <c r="O17" s="45"/>
      <c r="P17" s="45"/>
      <c r="Q17" s="45"/>
      <c r="S17" s="47"/>
      <c r="T17" s="47"/>
      <c r="U17" s="47"/>
      <c r="V17" s="47"/>
      <c r="W17" s="47"/>
      <c r="X17" s="47"/>
      <c r="Y17" s="47"/>
      <c r="Z17" s="47"/>
      <c r="AB17" s="47"/>
      <c r="AC17" s="47"/>
      <c r="AD17" s="47"/>
      <c r="AE17" s="47"/>
      <c r="AF17" s="47"/>
      <c r="AG17" s="47"/>
      <c r="AH17" s="47"/>
      <c r="AI17" s="47"/>
      <c r="AK17" s="47"/>
      <c r="AL17" s="47"/>
      <c r="AM17" s="47"/>
      <c r="AN17" s="47"/>
      <c r="AO17" s="47"/>
      <c r="AP17" s="47"/>
      <c r="AQ17" s="47"/>
      <c r="AR17" s="47"/>
      <c r="AT17" s="83"/>
      <c r="AU17" s="83"/>
      <c r="AV17" s="83"/>
      <c r="AW17" s="83"/>
      <c r="AX17" s="83"/>
      <c r="AY17" s="83"/>
      <c r="AZ17" s="83"/>
      <c r="BA17" s="83"/>
      <c r="BC17" s="373">
        <f t="shared" si="60"/>
        <v>0</v>
      </c>
      <c r="BD17" s="373">
        <f t="shared" si="61"/>
        <v>0</v>
      </c>
      <c r="BE17" s="47">
        <f t="shared" si="61"/>
        <v>0</v>
      </c>
      <c r="BF17" s="47">
        <f t="shared" si="62"/>
        <v>0</v>
      </c>
      <c r="BG17" s="47">
        <f t="shared" si="63"/>
        <v>0</v>
      </c>
      <c r="BH17" s="47">
        <f t="shared" si="64"/>
        <v>0</v>
      </c>
      <c r="BI17" s="47">
        <f t="shared" si="65"/>
        <v>0</v>
      </c>
      <c r="BJ17" s="47">
        <f t="shared" si="66"/>
        <v>0</v>
      </c>
      <c r="BL17" s="375">
        <f>BC17*(1+AusNet_Overheads!H$22)*RFM_PTRM!L$3</f>
        <v>0</v>
      </c>
      <c r="BM17" s="375">
        <f>BD17*(1+AusNet_Overheads!I$22)*RFM_PTRM!M$3</f>
        <v>0</v>
      </c>
      <c r="BN17" s="375">
        <f>BE17*(1+AusNet_Overheads!J$22)*RFM_PTRM!N$3</f>
        <v>0</v>
      </c>
      <c r="BO17" s="641">
        <f t="shared" si="24"/>
        <v>0</v>
      </c>
    </row>
    <row r="18" spans="2:67" x14ac:dyDescent="0.3">
      <c r="B18" s="7"/>
      <c r="C18" s="7"/>
      <c r="D18" s="7"/>
      <c r="E18" s="7"/>
      <c r="F18" s="7"/>
      <c r="G18" s="7"/>
      <c r="H18" s="7"/>
      <c r="I18" s="7"/>
      <c r="J18" s="45"/>
      <c r="K18" s="45"/>
      <c r="L18" s="45"/>
      <c r="M18" s="45"/>
      <c r="N18" s="45"/>
      <c r="O18" s="45"/>
      <c r="P18" s="45"/>
      <c r="Q18" s="45"/>
      <c r="S18" s="47"/>
      <c r="T18" s="47"/>
      <c r="U18" s="47"/>
      <c r="V18" s="47"/>
      <c r="W18" s="47"/>
      <c r="X18" s="47"/>
      <c r="Y18" s="47"/>
      <c r="Z18" s="47"/>
      <c r="AB18" s="47"/>
      <c r="AC18" s="47"/>
      <c r="AD18" s="47"/>
      <c r="AE18" s="47"/>
      <c r="AF18" s="47"/>
      <c r="AG18" s="47"/>
      <c r="AH18" s="47"/>
      <c r="AI18" s="47"/>
      <c r="AK18" s="47"/>
      <c r="AL18" s="47"/>
      <c r="AM18" s="47"/>
      <c r="AN18" s="47"/>
      <c r="AO18" s="47"/>
      <c r="AP18" s="47"/>
      <c r="AQ18" s="47"/>
      <c r="AR18" s="47"/>
      <c r="AT18" s="83"/>
      <c r="AU18" s="83"/>
      <c r="AV18" s="83"/>
      <c r="AW18" s="83"/>
      <c r="AX18" s="83"/>
      <c r="AY18" s="83"/>
      <c r="AZ18" s="83"/>
      <c r="BA18" s="83"/>
      <c r="BC18" s="373">
        <f t="shared" si="60"/>
        <v>0</v>
      </c>
      <c r="BD18" s="373">
        <f t="shared" si="61"/>
        <v>0</v>
      </c>
      <c r="BE18" s="47">
        <f t="shared" si="61"/>
        <v>0</v>
      </c>
      <c r="BF18" s="47">
        <f t="shared" si="62"/>
        <v>0</v>
      </c>
      <c r="BG18" s="47">
        <f t="shared" si="63"/>
        <v>0</v>
      </c>
      <c r="BH18" s="47">
        <f t="shared" si="64"/>
        <v>0</v>
      </c>
      <c r="BI18" s="47">
        <f t="shared" si="65"/>
        <v>0</v>
      </c>
      <c r="BJ18" s="47">
        <f t="shared" si="66"/>
        <v>0</v>
      </c>
      <c r="BL18" s="375">
        <f>BC18*(1+AusNet_Overheads!H$22)*RFM_PTRM!L$3</f>
        <v>0</v>
      </c>
      <c r="BM18" s="375">
        <f>BD18*(1+AusNet_Overheads!I$22)*RFM_PTRM!M$3</f>
        <v>0</v>
      </c>
      <c r="BN18" s="375">
        <f>BE18*(1+AusNet_Overheads!J$22)*RFM_PTRM!N$3</f>
        <v>0</v>
      </c>
      <c r="BO18" s="641">
        <f t="shared" si="24"/>
        <v>0</v>
      </c>
    </row>
    <row r="19" spans="2:67" x14ac:dyDescent="0.3">
      <c r="B19" s="7"/>
      <c r="C19" s="7"/>
      <c r="D19" s="7"/>
      <c r="E19" s="7"/>
      <c r="F19" s="7"/>
      <c r="G19" s="7"/>
      <c r="H19" s="7"/>
      <c r="I19" s="7"/>
      <c r="J19" s="45"/>
      <c r="K19" s="45"/>
      <c r="L19" s="45"/>
      <c r="M19" s="45"/>
      <c r="N19" s="45"/>
      <c r="O19" s="45"/>
      <c r="P19" s="45"/>
      <c r="Q19" s="45"/>
      <c r="S19" s="47"/>
      <c r="T19" s="47"/>
      <c r="U19" s="47"/>
      <c r="V19" s="47"/>
      <c r="W19" s="47"/>
      <c r="X19" s="47"/>
      <c r="Y19" s="47"/>
      <c r="Z19" s="47"/>
      <c r="AB19" s="47"/>
      <c r="AC19" s="47"/>
      <c r="AD19" s="47"/>
      <c r="AE19" s="47"/>
      <c r="AF19" s="47"/>
      <c r="AG19" s="47"/>
      <c r="AH19" s="47"/>
      <c r="AI19" s="47"/>
      <c r="AK19" s="47"/>
      <c r="AL19" s="47"/>
      <c r="AM19" s="47"/>
      <c r="AN19" s="47"/>
      <c r="AO19" s="47"/>
      <c r="AP19" s="47"/>
      <c r="AQ19" s="47"/>
      <c r="AR19" s="47"/>
      <c r="AT19" s="83"/>
      <c r="AU19" s="83"/>
      <c r="AV19" s="83"/>
      <c r="AW19" s="83"/>
      <c r="AX19" s="83"/>
      <c r="AY19" s="83"/>
      <c r="AZ19" s="83"/>
      <c r="BA19" s="83"/>
      <c r="BC19" s="373">
        <f t="shared" si="60"/>
        <v>0</v>
      </c>
      <c r="BD19" s="373">
        <f t="shared" si="61"/>
        <v>0</v>
      </c>
      <c r="BE19" s="47">
        <f t="shared" si="61"/>
        <v>0</v>
      </c>
      <c r="BF19" s="47">
        <f t="shared" si="62"/>
        <v>0</v>
      </c>
      <c r="BG19" s="47">
        <f t="shared" si="63"/>
        <v>0</v>
      </c>
      <c r="BH19" s="47">
        <f t="shared" si="64"/>
        <v>0</v>
      </c>
      <c r="BI19" s="47">
        <f t="shared" si="65"/>
        <v>0</v>
      </c>
      <c r="BJ19" s="47">
        <f t="shared" si="66"/>
        <v>0</v>
      </c>
      <c r="BL19" s="375">
        <f>BC19*(1+AusNet_Overheads!H$22)*RFM_PTRM!L$3</f>
        <v>0</v>
      </c>
      <c r="BM19" s="375">
        <f>BD19*(1+AusNet_Overheads!I$22)*RFM_PTRM!M$3</f>
        <v>0</v>
      </c>
      <c r="BN19" s="375">
        <f>BE19*(1+AusNet_Overheads!J$22)*RFM_PTRM!N$3</f>
        <v>0</v>
      </c>
      <c r="BO19" s="641">
        <f t="shared" si="24"/>
        <v>0</v>
      </c>
    </row>
    <row r="20" spans="2:67" x14ac:dyDescent="0.3">
      <c r="B20" s="7"/>
      <c r="C20" s="7"/>
      <c r="D20" s="7"/>
      <c r="E20" s="7"/>
      <c r="F20" s="7"/>
      <c r="G20" s="7"/>
      <c r="H20" s="7"/>
      <c r="I20" s="7"/>
      <c r="J20" s="45"/>
      <c r="K20" s="45"/>
      <c r="L20" s="45"/>
      <c r="M20" s="45"/>
      <c r="N20" s="45"/>
      <c r="O20" s="45"/>
      <c r="P20" s="45"/>
      <c r="Q20" s="45"/>
      <c r="S20" s="47"/>
      <c r="T20" s="47"/>
      <c r="U20" s="47"/>
      <c r="V20" s="47"/>
      <c r="W20" s="47"/>
      <c r="X20" s="47"/>
      <c r="Y20" s="47"/>
      <c r="Z20" s="47"/>
      <c r="AB20" s="47"/>
      <c r="AC20" s="47"/>
      <c r="AD20" s="47"/>
      <c r="AE20" s="47"/>
      <c r="AF20" s="47"/>
      <c r="AG20" s="47"/>
      <c r="AH20" s="47"/>
      <c r="AI20" s="47"/>
      <c r="AK20" s="47"/>
      <c r="AL20" s="47"/>
      <c r="AM20" s="47"/>
      <c r="AN20" s="47"/>
      <c r="AO20" s="47"/>
      <c r="AP20" s="47"/>
      <c r="AQ20" s="47"/>
      <c r="AR20" s="47"/>
      <c r="AT20" s="83"/>
      <c r="AU20" s="83"/>
      <c r="AV20" s="83"/>
      <c r="AW20" s="83"/>
      <c r="AX20" s="83"/>
      <c r="AY20" s="83"/>
      <c r="AZ20" s="83"/>
      <c r="BA20" s="83"/>
      <c r="BC20" s="373">
        <f t="shared" si="39"/>
        <v>0</v>
      </c>
      <c r="BD20" s="373">
        <f t="shared" si="40"/>
        <v>0</v>
      </c>
      <c r="BE20" s="47">
        <f t="shared" si="40"/>
        <v>0</v>
      </c>
      <c r="BF20" s="47">
        <f t="shared" si="41"/>
        <v>0</v>
      </c>
      <c r="BG20" s="47">
        <f t="shared" si="42"/>
        <v>0</v>
      </c>
      <c r="BH20" s="47">
        <f t="shared" si="43"/>
        <v>0</v>
      </c>
      <c r="BI20" s="47">
        <f t="shared" si="44"/>
        <v>0</v>
      </c>
      <c r="BJ20" s="47">
        <f t="shared" si="45"/>
        <v>0</v>
      </c>
      <c r="BL20" s="375">
        <f>BC20*(1+AusNet_Overheads!H$22)*RFM_PTRM!L$3</f>
        <v>0</v>
      </c>
      <c r="BM20" s="375">
        <f>BD20*(1+AusNet_Overheads!I$22)*RFM_PTRM!M$3</f>
        <v>0</v>
      </c>
      <c r="BN20" s="375">
        <f>BE20*(1+AusNet_Overheads!J$22)*RFM_PTRM!N$3</f>
        <v>0</v>
      </c>
      <c r="BO20" s="641">
        <f t="shared" si="24"/>
        <v>0</v>
      </c>
    </row>
    <row r="21" spans="2:67" x14ac:dyDescent="0.3">
      <c r="B21" s="7"/>
      <c r="C21" s="7"/>
      <c r="D21" s="7"/>
      <c r="E21" s="7"/>
      <c r="F21" s="7"/>
      <c r="G21" s="7"/>
      <c r="H21" s="7"/>
      <c r="I21" s="7"/>
      <c r="J21" s="45"/>
      <c r="K21" s="45"/>
      <c r="L21" s="45"/>
      <c r="M21" s="45"/>
      <c r="N21" s="45"/>
      <c r="O21" s="45"/>
      <c r="P21" s="45"/>
      <c r="Q21" s="45"/>
      <c r="S21" s="47"/>
      <c r="T21" s="47"/>
      <c r="U21" s="47"/>
      <c r="V21" s="47"/>
      <c r="W21" s="47"/>
      <c r="X21" s="47"/>
      <c r="Y21" s="47"/>
      <c r="Z21" s="47"/>
      <c r="AB21" s="47"/>
      <c r="AC21" s="47"/>
      <c r="AD21" s="47"/>
      <c r="AE21" s="47"/>
      <c r="AF21" s="47"/>
      <c r="AG21" s="47"/>
      <c r="AH21" s="47"/>
      <c r="AI21" s="47"/>
      <c r="AK21" s="47"/>
      <c r="AL21" s="47"/>
      <c r="AM21" s="47"/>
      <c r="AN21" s="47"/>
      <c r="AO21" s="47"/>
      <c r="AP21" s="47"/>
      <c r="AQ21" s="47"/>
      <c r="AR21" s="47"/>
      <c r="AT21" s="83"/>
      <c r="AU21" s="83"/>
      <c r="AV21" s="83"/>
      <c r="AW21" s="83"/>
      <c r="AX21" s="83"/>
      <c r="AY21" s="83"/>
      <c r="AZ21" s="83"/>
      <c r="BA21" s="83"/>
      <c r="BC21" s="373">
        <f t="shared" si="39"/>
        <v>0</v>
      </c>
      <c r="BD21" s="373">
        <f t="shared" si="40"/>
        <v>0</v>
      </c>
      <c r="BE21" s="47">
        <f t="shared" si="40"/>
        <v>0</v>
      </c>
      <c r="BF21" s="47">
        <f t="shared" si="41"/>
        <v>0</v>
      </c>
      <c r="BG21" s="47">
        <f t="shared" si="42"/>
        <v>0</v>
      </c>
      <c r="BH21" s="47">
        <f t="shared" si="43"/>
        <v>0</v>
      </c>
      <c r="BI21" s="47">
        <f t="shared" si="44"/>
        <v>0</v>
      </c>
      <c r="BJ21" s="47">
        <f t="shared" si="45"/>
        <v>0</v>
      </c>
      <c r="BL21" s="375">
        <f>BC21*(1+AusNet_Overheads!H$22)*RFM_PTRM!L$3</f>
        <v>0</v>
      </c>
      <c r="BM21" s="375">
        <f>BD21*(1+AusNet_Overheads!I$22)*RFM_PTRM!M$3</f>
        <v>0</v>
      </c>
      <c r="BN21" s="375">
        <f>BE21*(1+AusNet_Overheads!J$22)*RFM_PTRM!N$3</f>
        <v>0</v>
      </c>
      <c r="BO21" s="641">
        <f t="shared" si="24"/>
        <v>0</v>
      </c>
    </row>
    <row r="22" spans="2:67"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47"/>
      <c r="AC22" s="47"/>
      <c r="AD22" s="47"/>
      <c r="AE22" s="47"/>
      <c r="AF22" s="47"/>
      <c r="AG22" s="47"/>
      <c r="AH22" s="47"/>
      <c r="AI22" s="47"/>
      <c r="AK22" s="47"/>
      <c r="AL22" s="47"/>
      <c r="AM22" s="47"/>
      <c r="AN22" s="47"/>
      <c r="AO22" s="47"/>
      <c r="AP22" s="47"/>
      <c r="AQ22" s="47"/>
      <c r="AR22" s="47"/>
      <c r="AT22" s="83"/>
      <c r="AU22" s="83"/>
      <c r="AV22" s="83"/>
      <c r="AW22" s="83"/>
      <c r="AX22" s="83"/>
      <c r="AY22" s="83"/>
      <c r="AZ22" s="83"/>
      <c r="BA22" s="83"/>
      <c r="BC22" s="373">
        <f t="shared" si="39"/>
        <v>0</v>
      </c>
      <c r="BD22" s="373">
        <f t="shared" si="40"/>
        <v>0</v>
      </c>
      <c r="BE22" s="47">
        <f t="shared" si="40"/>
        <v>0</v>
      </c>
      <c r="BF22" s="47">
        <f t="shared" si="41"/>
        <v>0</v>
      </c>
      <c r="BG22" s="47">
        <f t="shared" si="42"/>
        <v>0</v>
      </c>
      <c r="BH22" s="47">
        <f t="shared" si="43"/>
        <v>0</v>
      </c>
      <c r="BI22" s="47">
        <f t="shared" si="44"/>
        <v>0</v>
      </c>
      <c r="BJ22" s="47">
        <f t="shared" si="45"/>
        <v>0</v>
      </c>
      <c r="BL22" s="375">
        <f>BC22*(1+AusNet_Overheads!H$22)*RFM_PTRM!L$3</f>
        <v>0</v>
      </c>
      <c r="BM22" s="375">
        <f>BD22*(1+AusNet_Overheads!I$22)*RFM_PTRM!M$3</f>
        <v>0</v>
      </c>
      <c r="BN22" s="375">
        <f>BE22*(1+AusNet_Overheads!J$22)*RFM_PTRM!N$3</f>
        <v>0</v>
      </c>
      <c r="BO22" s="641">
        <f t="shared" si="24"/>
        <v>0</v>
      </c>
    </row>
    <row r="23" spans="2:67"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47"/>
      <c r="AC23" s="47"/>
      <c r="AD23" s="47"/>
      <c r="AE23" s="47"/>
      <c r="AF23" s="47"/>
      <c r="AG23" s="47"/>
      <c r="AH23" s="47"/>
      <c r="AI23" s="47"/>
      <c r="AK23" s="47"/>
      <c r="AL23" s="47"/>
      <c r="AM23" s="47"/>
      <c r="AN23" s="47"/>
      <c r="AO23" s="47"/>
      <c r="AP23" s="47"/>
      <c r="AQ23" s="47"/>
      <c r="AR23" s="47"/>
      <c r="AT23" s="83"/>
      <c r="AU23" s="83"/>
      <c r="AV23" s="83"/>
      <c r="AW23" s="83"/>
      <c r="AX23" s="83"/>
      <c r="AY23" s="83"/>
      <c r="AZ23" s="83"/>
      <c r="BA23" s="83"/>
      <c r="BC23" s="373">
        <f t="shared" si="39"/>
        <v>0</v>
      </c>
      <c r="BD23" s="373">
        <f t="shared" si="40"/>
        <v>0</v>
      </c>
      <c r="BE23" s="47">
        <f t="shared" si="40"/>
        <v>0</v>
      </c>
      <c r="BF23" s="47">
        <f t="shared" si="41"/>
        <v>0</v>
      </c>
      <c r="BG23" s="47">
        <f t="shared" si="42"/>
        <v>0</v>
      </c>
      <c r="BH23" s="47">
        <f t="shared" si="43"/>
        <v>0</v>
      </c>
      <c r="BI23" s="47">
        <f t="shared" si="44"/>
        <v>0</v>
      </c>
      <c r="BJ23" s="47">
        <f t="shared" si="45"/>
        <v>0</v>
      </c>
      <c r="BL23" s="375">
        <f>BC23*(1+AusNet_Overheads!H$22)*RFM_PTRM!L$3</f>
        <v>0</v>
      </c>
      <c r="BM23" s="375">
        <f>BD23*(1+AusNet_Overheads!I$22)*RFM_PTRM!M$3</f>
        <v>0</v>
      </c>
      <c r="BN23" s="375">
        <f>BE23*(1+AusNet_Overheads!J$22)*RFM_PTRM!N$3</f>
        <v>0</v>
      </c>
      <c r="BO23" s="641">
        <f t="shared" si="24"/>
        <v>0</v>
      </c>
    </row>
    <row r="24" spans="2:67"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47"/>
      <c r="AC24" s="47"/>
      <c r="AD24" s="47"/>
      <c r="AE24" s="47"/>
      <c r="AF24" s="47"/>
      <c r="AG24" s="47"/>
      <c r="AH24" s="47"/>
      <c r="AI24" s="47"/>
      <c r="AK24" s="47"/>
      <c r="AL24" s="47"/>
      <c r="AM24" s="47"/>
      <c r="AN24" s="47"/>
      <c r="AO24" s="47"/>
      <c r="AP24" s="47"/>
      <c r="AQ24" s="47"/>
      <c r="AR24" s="47"/>
      <c r="AT24" s="47"/>
      <c r="AU24" s="47"/>
      <c r="AV24" s="47"/>
      <c r="AW24" s="47"/>
      <c r="AX24" s="47"/>
      <c r="AY24" s="47"/>
      <c r="AZ24" s="47"/>
      <c r="BA24" s="47"/>
      <c r="BC24" s="373"/>
      <c r="BD24" s="373"/>
      <c r="BE24" s="47"/>
      <c r="BF24" s="47"/>
      <c r="BG24" s="47"/>
      <c r="BH24" s="47"/>
      <c r="BI24" s="47"/>
      <c r="BJ24" s="47"/>
      <c r="BL24" s="6"/>
      <c r="BM24" s="6"/>
      <c r="BN24" s="6"/>
    </row>
    <row r="25" spans="2:67"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47"/>
      <c r="AC25" s="47"/>
      <c r="AD25" s="47"/>
      <c r="AE25" s="47"/>
      <c r="AF25" s="47"/>
      <c r="AG25" s="47"/>
      <c r="AH25" s="47"/>
      <c r="AI25" s="47"/>
      <c r="AK25" s="47"/>
      <c r="AL25" s="47"/>
      <c r="AM25" s="47"/>
      <c r="AN25" s="47"/>
      <c r="AO25" s="47"/>
      <c r="AP25" s="47"/>
      <c r="AQ25" s="47"/>
      <c r="AR25" s="47"/>
      <c r="AT25" s="47"/>
      <c r="AU25" s="47"/>
      <c r="AV25" s="47"/>
      <c r="AW25" s="47"/>
      <c r="AX25" s="47"/>
      <c r="AY25" s="47"/>
      <c r="AZ25" s="47"/>
      <c r="BA25" s="47"/>
      <c r="BC25" s="373"/>
      <c r="BD25" s="373"/>
      <c r="BE25" s="47"/>
      <c r="BF25" s="47"/>
      <c r="BG25" s="47"/>
      <c r="BH25" s="47"/>
      <c r="BI25" s="47"/>
      <c r="BJ25" s="47"/>
      <c r="BL25" s="6"/>
      <c r="BM25" s="6"/>
      <c r="BN25" s="6"/>
    </row>
    <row r="26" spans="2:67"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47"/>
      <c r="AC26" s="47"/>
      <c r="AD26" s="47"/>
      <c r="AE26" s="47"/>
      <c r="AF26" s="47"/>
      <c r="AG26" s="47"/>
      <c r="AH26" s="47"/>
      <c r="AI26" s="47"/>
      <c r="AK26" s="47"/>
      <c r="AL26" s="47"/>
      <c r="AM26" s="47"/>
      <c r="AN26" s="47"/>
      <c r="AO26" s="47"/>
      <c r="AP26" s="47"/>
      <c r="AQ26" s="47"/>
      <c r="AR26" s="47"/>
      <c r="AT26" s="47"/>
      <c r="AU26" s="47"/>
      <c r="AV26" s="47"/>
      <c r="AW26" s="47"/>
      <c r="AX26" s="47"/>
      <c r="AY26" s="47"/>
      <c r="AZ26" s="47"/>
      <c r="BA26" s="47"/>
      <c r="BC26" s="373"/>
      <c r="BD26" s="373"/>
      <c r="BE26" s="47"/>
      <c r="BF26" s="47"/>
      <c r="BG26" s="47"/>
      <c r="BH26" s="47"/>
      <c r="BI26" s="47"/>
      <c r="BJ26" s="47"/>
      <c r="BL26" s="6"/>
      <c r="BM26" s="6"/>
      <c r="BN26" s="6"/>
    </row>
    <row r="27" spans="2:67"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47"/>
      <c r="AC27" s="47"/>
      <c r="AD27" s="47"/>
      <c r="AE27" s="47"/>
      <c r="AF27" s="47"/>
      <c r="AG27" s="47"/>
      <c r="AH27" s="47"/>
      <c r="AI27" s="47"/>
      <c r="AK27" s="47"/>
      <c r="AL27" s="47"/>
      <c r="AM27" s="47"/>
      <c r="AN27" s="47"/>
      <c r="AO27" s="47"/>
      <c r="AP27" s="47"/>
      <c r="AQ27" s="47"/>
      <c r="AR27" s="47"/>
      <c r="AT27" s="47"/>
      <c r="AU27" s="47"/>
      <c r="AV27" s="47"/>
      <c r="AW27" s="47"/>
      <c r="AX27" s="47"/>
      <c r="AY27" s="47"/>
      <c r="AZ27" s="47"/>
      <c r="BA27" s="47"/>
      <c r="BC27" s="373"/>
      <c r="BD27" s="373"/>
      <c r="BE27" s="47"/>
      <c r="BF27" s="47"/>
      <c r="BG27" s="47"/>
      <c r="BH27" s="47"/>
      <c r="BI27" s="47"/>
      <c r="BJ27" s="47"/>
      <c r="BL27" s="6"/>
      <c r="BM27" s="6"/>
      <c r="BN27" s="6"/>
    </row>
    <row r="28" spans="2:67"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47"/>
      <c r="AC28" s="47"/>
      <c r="AD28" s="47"/>
      <c r="AE28" s="47"/>
      <c r="AF28" s="47"/>
      <c r="AG28" s="47"/>
      <c r="AH28" s="47"/>
      <c r="AI28" s="47"/>
      <c r="AK28" s="47"/>
      <c r="AL28" s="47"/>
      <c r="AM28" s="47"/>
      <c r="AN28" s="47"/>
      <c r="AO28" s="47"/>
      <c r="AP28" s="47"/>
      <c r="AQ28" s="47"/>
      <c r="AR28" s="47"/>
      <c r="AT28" s="47"/>
      <c r="AU28" s="47"/>
      <c r="AV28" s="47"/>
      <c r="AW28" s="47"/>
      <c r="AX28" s="47"/>
      <c r="AY28" s="47"/>
      <c r="AZ28" s="47"/>
      <c r="BA28" s="47"/>
      <c r="BC28" s="373"/>
      <c r="BD28" s="373"/>
      <c r="BE28" s="47"/>
      <c r="BF28" s="47"/>
      <c r="BG28" s="47"/>
      <c r="BH28" s="47"/>
      <c r="BI28" s="47"/>
      <c r="BJ28" s="47"/>
      <c r="BL28" s="6"/>
      <c r="BM28" s="6"/>
      <c r="BN28" s="6"/>
    </row>
    <row r="29" spans="2:67"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47"/>
      <c r="AC29" s="47"/>
      <c r="AD29" s="47"/>
      <c r="AE29" s="47"/>
      <c r="AF29" s="47"/>
      <c r="AG29" s="47"/>
      <c r="AH29" s="47"/>
      <c r="AI29" s="47"/>
      <c r="AK29" s="47"/>
      <c r="AL29" s="47"/>
      <c r="AM29" s="47"/>
      <c r="AN29" s="47"/>
      <c r="AO29" s="47"/>
      <c r="AP29" s="47"/>
      <c r="AQ29" s="47"/>
      <c r="AR29" s="47"/>
      <c r="AT29" s="47"/>
      <c r="AU29" s="47"/>
      <c r="AV29" s="47"/>
      <c r="AW29" s="47"/>
      <c r="AX29" s="47"/>
      <c r="AY29" s="47"/>
      <c r="AZ29" s="47"/>
      <c r="BA29" s="47"/>
      <c r="BC29" s="373"/>
      <c r="BD29" s="373"/>
      <c r="BE29" s="47"/>
      <c r="BF29" s="47"/>
      <c r="BG29" s="47"/>
      <c r="BH29" s="47"/>
      <c r="BI29" s="47"/>
      <c r="BJ29" s="47"/>
      <c r="BL29" s="6"/>
      <c r="BM29" s="6"/>
      <c r="BN29" s="6"/>
    </row>
    <row r="30" spans="2:67"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47"/>
      <c r="AC30" s="47"/>
      <c r="AD30" s="47"/>
      <c r="AE30" s="47"/>
      <c r="AF30" s="47"/>
      <c r="AG30" s="47"/>
      <c r="AH30" s="47"/>
      <c r="AI30" s="47"/>
      <c r="AK30" s="47"/>
      <c r="AL30" s="47"/>
      <c r="AM30" s="47"/>
      <c r="AN30" s="47"/>
      <c r="AO30" s="47"/>
      <c r="AP30" s="47"/>
      <c r="AQ30" s="47"/>
      <c r="AR30" s="47"/>
      <c r="AT30" s="47"/>
      <c r="AU30" s="47"/>
      <c r="AV30" s="47"/>
      <c r="AW30" s="47"/>
      <c r="AX30" s="47"/>
      <c r="AY30" s="47"/>
      <c r="AZ30" s="47"/>
      <c r="BA30" s="47"/>
      <c r="BC30" s="373"/>
      <c r="BD30" s="373"/>
      <c r="BE30" s="47"/>
      <c r="BF30" s="47"/>
      <c r="BG30" s="47"/>
      <c r="BH30" s="47"/>
      <c r="BI30" s="47"/>
      <c r="BJ30" s="47"/>
      <c r="BL30" s="6"/>
      <c r="BM30" s="6"/>
      <c r="BN30" s="6"/>
    </row>
    <row r="31" spans="2:67"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47"/>
      <c r="AC31" s="47"/>
      <c r="AD31" s="47"/>
      <c r="AE31" s="47"/>
      <c r="AF31" s="47"/>
      <c r="AG31" s="47"/>
      <c r="AH31" s="47"/>
      <c r="AI31" s="47"/>
      <c r="AK31" s="47"/>
      <c r="AL31" s="47"/>
      <c r="AM31" s="47"/>
      <c r="AN31" s="47"/>
      <c r="AO31" s="47"/>
      <c r="AP31" s="47"/>
      <c r="AQ31" s="47"/>
      <c r="AR31" s="47"/>
      <c r="AT31" s="47"/>
      <c r="AU31" s="47"/>
      <c r="AV31" s="47"/>
      <c r="AW31" s="47"/>
      <c r="AX31" s="47"/>
      <c r="AY31" s="47"/>
      <c r="AZ31" s="47"/>
      <c r="BA31" s="47"/>
      <c r="BC31" s="373"/>
      <c r="BD31" s="373"/>
      <c r="BE31" s="47"/>
      <c r="BF31" s="47"/>
      <c r="BG31" s="47"/>
      <c r="BH31" s="47"/>
      <c r="BI31" s="47"/>
      <c r="BJ31" s="47"/>
      <c r="BL31" s="6"/>
      <c r="BM31" s="6"/>
      <c r="BN31" s="6"/>
    </row>
    <row r="32" spans="2:67"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47"/>
      <c r="AC32" s="47"/>
      <c r="AD32" s="47"/>
      <c r="AE32" s="47"/>
      <c r="AF32" s="47"/>
      <c r="AG32" s="47"/>
      <c r="AH32" s="47"/>
      <c r="AI32" s="47"/>
      <c r="AK32" s="47"/>
      <c r="AL32" s="47"/>
      <c r="AM32" s="47"/>
      <c r="AN32" s="47"/>
      <c r="AO32" s="47"/>
      <c r="AP32" s="47"/>
      <c r="AQ32" s="47"/>
      <c r="AR32" s="47"/>
      <c r="AT32" s="47"/>
      <c r="AU32" s="47"/>
      <c r="AV32" s="47"/>
      <c r="AW32" s="47"/>
      <c r="AX32" s="47"/>
      <c r="AY32" s="47"/>
      <c r="AZ32" s="47"/>
      <c r="BA32" s="47"/>
      <c r="BC32" s="373"/>
      <c r="BD32" s="373"/>
      <c r="BE32" s="47"/>
      <c r="BF32" s="47"/>
      <c r="BG32" s="47"/>
      <c r="BH32" s="47"/>
      <c r="BI32" s="47"/>
      <c r="BJ32" s="47"/>
      <c r="BL32" s="6"/>
      <c r="BM32" s="6"/>
      <c r="BN32" s="6"/>
    </row>
    <row r="33" spans="2:66"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47"/>
      <c r="AC33" s="47"/>
      <c r="AD33" s="47"/>
      <c r="AE33" s="47"/>
      <c r="AF33" s="47"/>
      <c r="AG33" s="47"/>
      <c r="AH33" s="47"/>
      <c r="AI33" s="47"/>
      <c r="AK33" s="47"/>
      <c r="AL33" s="47"/>
      <c r="AM33" s="47"/>
      <c r="AN33" s="47"/>
      <c r="AO33" s="47"/>
      <c r="AP33" s="47"/>
      <c r="AQ33" s="47"/>
      <c r="AR33" s="47"/>
      <c r="AT33" s="47"/>
      <c r="AU33" s="47"/>
      <c r="AV33" s="47"/>
      <c r="AW33" s="47"/>
      <c r="AX33" s="47"/>
      <c r="AY33" s="47"/>
      <c r="AZ33" s="47"/>
      <c r="BA33" s="47"/>
      <c r="BC33" s="373"/>
      <c r="BD33" s="373"/>
      <c r="BE33" s="47"/>
      <c r="BF33" s="47"/>
      <c r="BG33" s="47"/>
      <c r="BH33" s="47"/>
      <c r="BI33" s="47"/>
      <c r="BJ33" s="47"/>
      <c r="BL33" s="6"/>
      <c r="BM33" s="6"/>
      <c r="BN33" s="6"/>
    </row>
    <row r="34" spans="2:66"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47"/>
      <c r="AC34" s="47"/>
      <c r="AD34" s="47"/>
      <c r="AE34" s="47"/>
      <c r="AF34" s="47"/>
      <c r="AG34" s="47"/>
      <c r="AH34" s="47"/>
      <c r="AI34" s="47"/>
      <c r="AK34" s="47"/>
      <c r="AL34" s="47"/>
      <c r="AM34" s="47"/>
      <c r="AN34" s="47"/>
      <c r="AO34" s="47"/>
      <c r="AP34" s="47"/>
      <c r="AQ34" s="47"/>
      <c r="AR34" s="47"/>
      <c r="AT34" s="47"/>
      <c r="AU34" s="47"/>
      <c r="AV34" s="47"/>
      <c r="AW34" s="47"/>
      <c r="AX34" s="47"/>
      <c r="AY34" s="47"/>
      <c r="AZ34" s="47"/>
      <c r="BA34" s="47"/>
      <c r="BC34" s="373"/>
      <c r="BD34" s="373"/>
      <c r="BE34" s="47"/>
      <c r="BF34" s="47"/>
      <c r="BG34" s="47"/>
      <c r="BH34" s="47"/>
      <c r="BI34" s="47"/>
      <c r="BJ34" s="47"/>
      <c r="BL34" s="6"/>
      <c r="BM34" s="6"/>
      <c r="BN34" s="6"/>
    </row>
    <row r="35" spans="2:66"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47"/>
      <c r="AC35" s="47"/>
      <c r="AD35" s="47"/>
      <c r="AE35" s="47"/>
      <c r="AF35" s="47"/>
      <c r="AG35" s="47"/>
      <c r="AH35" s="47"/>
      <c r="AI35" s="47"/>
      <c r="AK35" s="47"/>
      <c r="AL35" s="47"/>
      <c r="AM35" s="47"/>
      <c r="AN35" s="47"/>
      <c r="AO35" s="47"/>
      <c r="AP35" s="47"/>
      <c r="AQ35" s="47"/>
      <c r="AR35" s="47"/>
      <c r="AT35" s="47"/>
      <c r="AU35" s="47"/>
      <c r="AV35" s="47"/>
      <c r="AW35" s="47"/>
      <c r="AX35" s="47"/>
      <c r="AY35" s="47"/>
      <c r="AZ35" s="47"/>
      <c r="BA35" s="47"/>
      <c r="BC35" s="373"/>
      <c r="BD35" s="373"/>
      <c r="BE35" s="47"/>
      <c r="BF35" s="47"/>
      <c r="BG35" s="47"/>
      <c r="BH35" s="47"/>
      <c r="BI35" s="47"/>
      <c r="BJ35" s="47"/>
      <c r="BL35" s="6"/>
      <c r="BM35" s="6"/>
      <c r="BN35" s="6"/>
    </row>
    <row r="36" spans="2:66"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47"/>
      <c r="AC36" s="47"/>
      <c r="AD36" s="47"/>
      <c r="AE36" s="47"/>
      <c r="AF36" s="47"/>
      <c r="AG36" s="47"/>
      <c r="AH36" s="47"/>
      <c r="AI36" s="47"/>
      <c r="AK36" s="47"/>
      <c r="AL36" s="47"/>
      <c r="AM36" s="47"/>
      <c r="AN36" s="47"/>
      <c r="AO36" s="47"/>
      <c r="AP36" s="47"/>
      <c r="AQ36" s="47"/>
      <c r="AR36" s="47"/>
      <c r="AT36" s="47"/>
      <c r="AU36" s="47"/>
      <c r="AV36" s="47"/>
      <c r="AW36" s="47"/>
      <c r="AX36" s="47"/>
      <c r="AY36" s="47"/>
      <c r="AZ36" s="47"/>
      <c r="BA36" s="47"/>
      <c r="BC36" s="373"/>
      <c r="BD36" s="373"/>
      <c r="BE36" s="47"/>
      <c r="BF36" s="47"/>
      <c r="BG36" s="47"/>
      <c r="BH36" s="47"/>
      <c r="BI36" s="47"/>
      <c r="BJ36" s="47"/>
      <c r="BL36" s="6"/>
      <c r="BM36" s="6"/>
      <c r="BN36" s="6"/>
    </row>
    <row r="37" spans="2:66" x14ac:dyDescent="0.3">
      <c r="J37" s="49">
        <f t="shared" ref="J37:BN37" si="67">SUM(J6:J36)</f>
        <v>43770.307553235834</v>
      </c>
      <c r="K37" s="49">
        <f t="shared" si="67"/>
        <v>44210.876571027053</v>
      </c>
      <c r="L37" s="49">
        <f t="shared" si="67"/>
        <v>17669.092902610653</v>
      </c>
      <c r="M37" s="49">
        <f t="shared" si="67"/>
        <v>33463.965854859867</v>
      </c>
      <c r="N37" s="49">
        <f t="shared" si="67"/>
        <v>25413.524691519084</v>
      </c>
      <c r="O37" s="49">
        <f t="shared" si="67"/>
        <v>32466.379013251648</v>
      </c>
      <c r="P37" s="49">
        <f t="shared" si="67"/>
        <v>24971.30019003214</v>
      </c>
      <c r="Q37" s="49">
        <f t="shared" si="67"/>
        <v>23689.059070058749</v>
      </c>
      <c r="S37" s="48">
        <f t="shared" si="67"/>
        <v>7976.0806132704392</v>
      </c>
      <c r="T37" s="48">
        <f t="shared" si="67"/>
        <v>8133.3241490517776</v>
      </c>
      <c r="U37" s="48">
        <f t="shared" si="67"/>
        <v>3265.0777974356606</v>
      </c>
      <c r="V37" s="48">
        <f t="shared" si="67"/>
        <v>6242.9834157521691</v>
      </c>
      <c r="W37" s="48">
        <f t="shared" si="67"/>
        <v>4789.750634150615</v>
      </c>
      <c r="X37" s="48">
        <f t="shared" si="67"/>
        <v>6184.8841730862277</v>
      </c>
      <c r="Y37" s="48">
        <f t="shared" si="67"/>
        <v>4802.0419212475745</v>
      </c>
      <c r="Z37" s="48">
        <f t="shared" si="67"/>
        <v>4595.5519086970944</v>
      </c>
      <c r="AB37" s="48">
        <f t="shared" si="67"/>
        <v>15076.022989883102</v>
      </c>
      <c r="AC37" s="48">
        <f t="shared" si="67"/>
        <v>15227.770350414488</v>
      </c>
      <c r="AD37" s="48">
        <f t="shared" si="67"/>
        <v>6085.8528463880011</v>
      </c>
      <c r="AE37" s="48">
        <f t="shared" si="67"/>
        <v>11526.158868016308</v>
      </c>
      <c r="AF37" s="48">
        <f t="shared" si="67"/>
        <v>8753.3056978709592</v>
      </c>
      <c r="AG37" s="48">
        <f t="shared" si="67"/>
        <v>11182.555110144642</v>
      </c>
      <c r="AH37" s="48">
        <f t="shared" si="67"/>
        <v>8600.9881309222237</v>
      </c>
      <c r="AI37" s="48">
        <f t="shared" si="67"/>
        <v>8159.3394954909836</v>
      </c>
      <c r="AK37" s="48">
        <f t="shared" si="67"/>
        <v>20977.169868266556</v>
      </c>
      <c r="AL37" s="48">
        <f t="shared" si="67"/>
        <v>21390.721902242236</v>
      </c>
      <c r="AM37" s="48">
        <f t="shared" si="67"/>
        <v>8587.1864780250235</v>
      </c>
      <c r="AN37" s="48">
        <f t="shared" si="67"/>
        <v>16419.107321848711</v>
      </c>
      <c r="AO37" s="48">
        <f t="shared" si="67"/>
        <v>12597.090921077948</v>
      </c>
      <c r="AP37" s="48">
        <f t="shared" si="67"/>
        <v>16266.30574652444</v>
      </c>
      <c r="AQ37" s="48">
        <f t="shared" si="67"/>
        <v>12629.417126119504</v>
      </c>
      <c r="AR37" s="48">
        <f t="shared" si="67"/>
        <v>12086.34637754092</v>
      </c>
      <c r="AT37" s="48">
        <f t="shared" si="67"/>
        <v>0</v>
      </c>
      <c r="AU37" s="48">
        <f t="shared" si="67"/>
        <v>0</v>
      </c>
      <c r="AV37" s="48">
        <f t="shared" si="67"/>
        <v>0</v>
      </c>
      <c r="AW37" s="48">
        <f t="shared" si="67"/>
        <v>0</v>
      </c>
      <c r="AX37" s="48">
        <f t="shared" si="67"/>
        <v>0</v>
      </c>
      <c r="AY37" s="48">
        <f t="shared" si="67"/>
        <v>0</v>
      </c>
      <c r="AZ37" s="48">
        <f t="shared" si="67"/>
        <v>0</v>
      </c>
      <c r="BA37" s="48">
        <f t="shared" si="67"/>
        <v>0</v>
      </c>
      <c r="BC37" s="48">
        <f t="shared" si="67"/>
        <v>44029.273471420092</v>
      </c>
      <c r="BD37" s="48">
        <f t="shared" si="67"/>
        <v>44751.8164017085</v>
      </c>
      <c r="BE37" s="48">
        <f t="shared" si="67"/>
        <v>17938.117121848685</v>
      </c>
      <c r="BF37" s="48">
        <f t="shared" si="67"/>
        <v>34188.24960561718</v>
      </c>
      <c r="BG37" s="48">
        <f t="shared" si="67"/>
        <v>26140.147253099531</v>
      </c>
      <c r="BH37" s="48">
        <f t="shared" si="67"/>
        <v>33633.745029755315</v>
      </c>
      <c r="BI37" s="48">
        <f t="shared" si="67"/>
        <v>26032.447178289302</v>
      </c>
      <c r="BJ37" s="48">
        <f t="shared" si="67"/>
        <v>24841.237781728996</v>
      </c>
      <c r="BL37" s="48">
        <f t="shared" si="67"/>
        <v>47140.460930907837</v>
      </c>
      <c r="BM37" s="48">
        <f t="shared" si="67"/>
        <v>48479.463193455318</v>
      </c>
      <c r="BN37" s="48">
        <f t="shared" si="67"/>
        <v>20102.988436245785</v>
      </c>
    </row>
    <row r="38" spans="2:66" x14ac:dyDescent="0.3">
      <c r="BC38" s="85">
        <f t="shared" ref="BC38:BJ38" si="68">IF(ISERROR((BC37-J37)/J37),0,(BC37-J37)/J37)</f>
        <v>5.9164747213459618E-3</v>
      </c>
      <c r="BD38" s="85">
        <f t="shared" si="68"/>
        <v>1.2235446854630887E-2</v>
      </c>
      <c r="BE38" s="85">
        <f t="shared" si="68"/>
        <v>1.5225694987334802E-2</v>
      </c>
      <c r="BF38" s="85">
        <f t="shared" si="68"/>
        <v>2.1643691423146955E-2</v>
      </c>
      <c r="BG38" s="85">
        <f t="shared" si="68"/>
        <v>2.8591963153498851E-2</v>
      </c>
      <c r="BH38" s="85">
        <f t="shared" si="68"/>
        <v>3.595615070061213E-2</v>
      </c>
      <c r="BI38" s="85">
        <f t="shared" si="68"/>
        <v>4.2494663080488805E-2</v>
      </c>
      <c r="BJ38" s="85">
        <f t="shared" si="68"/>
        <v>4.8637588697075664E-2</v>
      </c>
      <c r="BL38" s="289">
        <f>BL37-RFM_PTRM!L12*Thousands</f>
        <v>0</v>
      </c>
      <c r="BM38" s="289">
        <f>BM37-RFM_PTRM!M12*Thousands</f>
        <v>-8.0035533756017685E-11</v>
      </c>
      <c r="BN38" s="289">
        <f>BN37-RFM_PTRM!N12*Thousands</f>
        <v>-5.8207660913467407E-11</v>
      </c>
    </row>
    <row r="39" spans="2:66" x14ac:dyDescent="0.3">
      <c r="K39" s="79"/>
      <c r="L39" s="79"/>
      <c r="BF39" s="39"/>
      <c r="BG39" s="39"/>
      <c r="BH39" s="39"/>
      <c r="BI39" s="39"/>
      <c r="BJ39" s="39"/>
    </row>
    <row r="41" spans="2:66" x14ac:dyDescent="0.3">
      <c r="M41" s="313"/>
      <c r="N41" s="313"/>
      <c r="O41" s="313"/>
      <c r="P41" s="313"/>
      <c r="Q41" s="313"/>
    </row>
    <row r="42" spans="2:66" x14ac:dyDescent="0.3">
      <c r="M42" s="313"/>
      <c r="N42" s="313"/>
      <c r="O42" s="313"/>
      <c r="P42" s="313"/>
      <c r="Q42" s="313"/>
    </row>
    <row r="43" spans="2:66" x14ac:dyDescent="0.3">
      <c r="M43" s="313"/>
      <c r="N43" s="313"/>
      <c r="O43" s="313"/>
      <c r="P43" s="313"/>
      <c r="Q43" s="313"/>
    </row>
    <row r="44" spans="2:66" x14ac:dyDescent="0.3">
      <c r="M44" s="158"/>
      <c r="N44" s="158"/>
      <c r="O44" s="158"/>
      <c r="P44" s="158"/>
      <c r="Q44" s="158"/>
    </row>
    <row r="45" spans="2:66" x14ac:dyDescent="0.3">
      <c r="K45" s="79"/>
      <c r="L45" s="79"/>
      <c r="M45" s="275"/>
      <c r="N45" s="275"/>
      <c r="O45" s="275"/>
      <c r="P45" s="275"/>
      <c r="Q45" s="275"/>
    </row>
    <row r="47" spans="2:66" x14ac:dyDescent="0.3">
      <c r="J47" s="328"/>
      <c r="K47" s="328"/>
      <c r="L47" s="328"/>
    </row>
    <row r="48" spans="2:66" x14ac:dyDescent="0.3">
      <c r="J48" s="219"/>
      <c r="K48" s="219"/>
      <c r="L48" s="219"/>
    </row>
    <row r="49" spans="10:19" x14ac:dyDescent="0.3">
      <c r="J49" s="219"/>
      <c r="K49" s="219"/>
      <c r="L49" s="219"/>
    </row>
    <row r="50" spans="10:19" x14ac:dyDescent="0.3">
      <c r="J50" s="219"/>
      <c r="K50" s="219"/>
      <c r="L50" s="219"/>
    </row>
    <row r="55" spans="10:19" x14ac:dyDescent="0.3">
      <c r="J55" s="39"/>
      <c r="K55" s="39"/>
      <c r="L55" s="39"/>
      <c r="M55" s="39"/>
      <c r="N55" s="39"/>
      <c r="S55" s="39"/>
    </row>
  </sheetData>
  <mergeCells count="13">
    <mergeCell ref="BL4:BN4"/>
    <mergeCell ref="BC3:BJ3"/>
    <mergeCell ref="AT3:BA3"/>
    <mergeCell ref="J4:Q4"/>
    <mergeCell ref="J3:Q3"/>
    <mergeCell ref="S3:Z3"/>
    <mergeCell ref="AB3:AI3"/>
    <mergeCell ref="AK3:AR3"/>
    <mergeCell ref="BC4:BJ4"/>
    <mergeCell ref="AK4:AR4"/>
    <mergeCell ref="AT4:BA4"/>
    <mergeCell ref="AB4:AI4"/>
    <mergeCell ref="S4:Z4"/>
  </mergeCells>
  <dataValidations disablePrompts="1" xWindow="606" yWindow="646" count="1">
    <dataValidation type="list" allowBlank="1" showInputMessage="1" showErrorMessage="1" prompt="Select from drop down list" sqref="H20:H36" xr:uid="{00000000-0002-0000-1200-000000000000}">
      <formula1>$C$25:$C$29</formula1>
    </dataValidation>
  </dataValidations>
  <hyperlinks>
    <hyperlink ref="B2" location="Contents!A1" display="Table of Contents" xr:uid="{00000000-0004-0000-12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disablePrompts="1" xWindow="606" yWindow="646" count="5">
        <x14:dataValidation type="list" errorStyle="warning" showInputMessage="1" showErrorMessage="1" error="Invalid data entered" prompt="Select from drop down list" xr:uid="{00000000-0002-0000-1200-000001000000}">
          <x14:formula1>
            <xm:f>Lookups!$C$5:$C$13</xm:f>
          </x14:formula1>
          <xm:sqref>E6:E36</xm:sqref>
        </x14:dataValidation>
        <x14:dataValidation type="list" errorStyle="warning" showInputMessage="1" showErrorMessage="1" error="Invalid data entered" prompt="Select from drop down list" xr:uid="{00000000-0002-0000-1200-000002000000}">
          <x14:formula1>
            <xm:f>Lookups!$C$16:$C$27</xm:f>
          </x14:formula1>
          <xm:sqref>F6:F36</xm:sqref>
        </x14:dataValidation>
        <x14:dataValidation type="list" allowBlank="1" showInputMessage="1" showErrorMessage="1" prompt="Select from drop down list" xr:uid="{00000000-0002-0000-1200-000003000000}">
          <x14:formula1>
            <xm:f>Lookups!$I$15:$I$26</xm:f>
          </x14:formula1>
          <xm:sqref>I6:I36</xm:sqref>
        </x14:dataValidation>
        <x14:dataValidation type="list" errorStyle="warning" showInputMessage="1" showErrorMessage="1" error="Invalid data entered" prompt="Select from drop down list" xr:uid="{00000000-0002-0000-1200-000004000000}">
          <x14:formula1>
            <xm:f>Lookups!$I$5:$I$8</xm:f>
          </x14:formula1>
          <xm:sqref>G6:G36</xm:sqref>
        </x14:dataValidation>
        <x14:dataValidation type="list" allowBlank="1" showInputMessage="1" showErrorMessage="1" prompt="Select from drop down list" xr:uid="{00000000-0002-0000-1200-000005000000}">
          <x14:formula1>
            <xm:f>Lab_Mat!$C$25:$C$28</xm:f>
          </x14:formula1>
          <xm:sqref>H6:H19</xm:sqref>
        </x14:dataValidation>
      </x14:dataValidations>
    </ex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BO56"/>
  <sheetViews>
    <sheetView zoomScale="70" zoomScaleNormal="70" zoomScalePageLayoutView="125" workbookViewId="0">
      <pane xSplit="8" topLeftCell="AU1" activePane="topRight" state="frozen"/>
      <selection activeCell="K24" sqref="K24"/>
      <selection pane="topRight" activeCell="B2" sqref="B2"/>
    </sheetView>
  </sheetViews>
  <sheetFormatPr defaultColWidth="8.88671875" defaultRowHeight="14.4" outlineLevelCol="1" x14ac:dyDescent="0.3"/>
  <cols>
    <col min="1" max="1" width="4" style="1" customWidth="1"/>
    <col min="2" max="2" width="12.6640625" style="1" customWidth="1"/>
    <col min="3" max="3" width="18" style="1" customWidth="1"/>
    <col min="4" max="4" width="43.6640625" style="1" customWidth="1"/>
    <col min="5" max="5" width="33.33203125" style="1" hidden="1" customWidth="1" outlineLevel="1"/>
    <col min="6" max="6" width="31.109375" style="1" hidden="1" customWidth="1" outlineLevel="1"/>
    <col min="7" max="7" width="14" style="1" hidden="1" customWidth="1" outlineLevel="1"/>
    <col min="8" max="8" width="28.109375" style="1" hidden="1" customWidth="1" outlineLevel="1"/>
    <col min="9" max="9" width="27.33203125" style="1" hidden="1" customWidth="1" outlineLevel="1"/>
    <col min="10" max="10" width="9" style="1" customWidth="1" collapsed="1"/>
    <col min="11" max="12" width="9" style="1" customWidth="1"/>
    <col min="13" max="13" width="10.6640625" style="1" customWidth="1"/>
    <col min="14" max="14" width="10.33203125" style="1" customWidth="1"/>
    <col min="15" max="17" width="9" style="1" customWidth="1"/>
    <col min="18" max="18" width="3.109375" style="1" customWidth="1"/>
    <col min="19" max="26" width="8.88671875" style="1"/>
    <col min="27" max="27" width="2.88671875" style="1" customWidth="1"/>
    <col min="28" max="35" width="8.88671875" style="1"/>
    <col min="36" max="36" width="2.44140625" style="1" customWidth="1"/>
    <col min="37" max="44" width="8.88671875" style="1"/>
    <col min="45" max="45" width="2.88671875" style="1" customWidth="1"/>
    <col min="46" max="53" width="8.88671875" style="1"/>
    <col min="54" max="54" width="2.88671875" style="1" customWidth="1"/>
    <col min="55" max="62" width="8.88671875" style="1"/>
    <col min="63" max="63" width="2.6640625" style="1" customWidth="1"/>
    <col min="64" max="64" width="8.6640625" style="1" customWidth="1"/>
    <col min="65" max="65" width="9.33203125" style="1" customWidth="1"/>
    <col min="66" max="66" width="9.5546875" style="1" customWidth="1"/>
    <col min="67" max="67" width="33.5546875" style="1" customWidth="1"/>
    <col min="68" max="16384" width="8.88671875" style="1"/>
  </cols>
  <sheetData>
    <row r="1" spans="2:67" ht="18" x14ac:dyDescent="0.35">
      <c r="B1" s="10" t="s">
        <v>524</v>
      </c>
      <c r="M1" s="582"/>
      <c r="N1" s="582"/>
    </row>
    <row r="2" spans="2:67" x14ac:dyDescent="0.3">
      <c r="B2" s="25" t="s">
        <v>6</v>
      </c>
      <c r="AB2" s="89"/>
      <c r="AC2" s="89"/>
      <c r="AD2" s="89"/>
    </row>
    <row r="3" spans="2:67" x14ac:dyDescent="0.3">
      <c r="J3" s="592"/>
      <c r="K3" s="592"/>
      <c r="L3" s="592"/>
      <c r="M3" s="592"/>
      <c r="N3" s="592"/>
      <c r="O3" s="592"/>
      <c r="P3" s="592"/>
      <c r="Q3" s="592"/>
      <c r="S3" s="592"/>
      <c r="T3" s="592"/>
      <c r="U3" s="592"/>
      <c r="V3" s="592"/>
      <c r="W3" s="592"/>
      <c r="X3" s="592"/>
      <c r="Y3" s="592"/>
      <c r="Z3" s="592"/>
      <c r="AB3" s="592"/>
      <c r="AC3" s="592"/>
      <c r="AD3" s="592"/>
      <c r="AE3" s="592"/>
      <c r="AF3" s="592"/>
      <c r="AG3" s="592"/>
      <c r="AH3" s="592"/>
      <c r="AI3" s="592"/>
      <c r="AK3" s="592"/>
      <c r="AL3" s="592"/>
      <c r="AM3" s="592"/>
      <c r="AN3" s="592"/>
      <c r="AO3" s="592"/>
      <c r="AP3" s="592"/>
      <c r="AQ3" s="592"/>
      <c r="AR3" s="592"/>
      <c r="AT3" s="592"/>
      <c r="AU3" s="592"/>
      <c r="AV3" s="592"/>
      <c r="AW3" s="592"/>
      <c r="AX3" s="592"/>
      <c r="AY3" s="592"/>
      <c r="AZ3" s="592"/>
      <c r="BA3" s="592"/>
      <c r="BC3" s="592"/>
      <c r="BD3" s="592"/>
      <c r="BE3" s="592"/>
      <c r="BF3" s="592"/>
      <c r="BG3" s="592"/>
      <c r="BH3" s="592"/>
      <c r="BI3" s="592"/>
      <c r="BJ3" s="592"/>
    </row>
    <row r="4" spans="2:67" ht="35.4" customHeight="1" x14ac:dyDescent="0.3">
      <c r="J4" s="589" t="s">
        <v>378</v>
      </c>
      <c r="K4" s="590"/>
      <c r="L4" s="590"/>
      <c r="M4" s="590"/>
      <c r="N4" s="590"/>
      <c r="O4" s="590"/>
      <c r="P4" s="590"/>
      <c r="Q4" s="591"/>
      <c r="S4" s="589" t="s">
        <v>174</v>
      </c>
      <c r="T4" s="590"/>
      <c r="U4" s="590"/>
      <c r="V4" s="590"/>
      <c r="W4" s="590"/>
      <c r="X4" s="590"/>
      <c r="Y4" s="590"/>
      <c r="Z4" s="591"/>
      <c r="AB4" s="589" t="s">
        <v>173</v>
      </c>
      <c r="AC4" s="590"/>
      <c r="AD4" s="590"/>
      <c r="AE4" s="590"/>
      <c r="AF4" s="590"/>
      <c r="AG4" s="590"/>
      <c r="AH4" s="590"/>
      <c r="AI4" s="591"/>
      <c r="AK4" s="589" t="s">
        <v>297</v>
      </c>
      <c r="AL4" s="590"/>
      <c r="AM4" s="590"/>
      <c r="AN4" s="590"/>
      <c r="AO4" s="590"/>
      <c r="AP4" s="590"/>
      <c r="AQ4" s="590"/>
      <c r="AR4" s="591"/>
      <c r="AT4" s="589" t="s">
        <v>175</v>
      </c>
      <c r="AU4" s="590"/>
      <c r="AV4" s="590"/>
      <c r="AW4" s="590"/>
      <c r="AX4" s="590"/>
      <c r="AY4" s="590"/>
      <c r="AZ4" s="590"/>
      <c r="BA4" s="591"/>
      <c r="BC4" s="589" t="s">
        <v>379</v>
      </c>
      <c r="BD4" s="590"/>
      <c r="BE4" s="590"/>
      <c r="BF4" s="590"/>
      <c r="BG4" s="590"/>
      <c r="BH4" s="590"/>
      <c r="BI4" s="590"/>
      <c r="BJ4" s="591"/>
      <c r="BL4" s="589" t="s">
        <v>787</v>
      </c>
      <c r="BM4" s="590"/>
      <c r="BN4" s="591"/>
    </row>
    <row r="5" spans="2:67" x14ac:dyDescent="0.3">
      <c r="B5" s="8" t="s">
        <v>23</v>
      </c>
      <c r="C5" s="8" t="s">
        <v>24</v>
      </c>
      <c r="D5" s="17" t="s">
        <v>98</v>
      </c>
      <c r="E5" s="17" t="s">
        <v>76</v>
      </c>
      <c r="F5" s="17" t="s">
        <v>77</v>
      </c>
      <c r="G5" s="17" t="s">
        <v>322</v>
      </c>
      <c r="H5" s="17" t="s">
        <v>212</v>
      </c>
      <c r="I5" s="17" t="s">
        <v>527</v>
      </c>
      <c r="J5" s="335">
        <f>CP_Yr_4</f>
        <v>43800</v>
      </c>
      <c r="K5" s="335">
        <f>CP_Yr_5</f>
        <v>44166</v>
      </c>
      <c r="L5" s="335">
        <f>Stub</f>
        <v>44377</v>
      </c>
      <c r="M5" s="335">
        <f>Yr_1</f>
        <v>44742</v>
      </c>
      <c r="N5" s="335">
        <f>Yr_2</f>
        <v>45107</v>
      </c>
      <c r="O5" s="335">
        <f>Yr_3</f>
        <v>45473</v>
      </c>
      <c r="P5" s="335">
        <f>Yr_4</f>
        <v>45838</v>
      </c>
      <c r="Q5" s="335">
        <f>Yr_5</f>
        <v>46203</v>
      </c>
      <c r="R5" s="336"/>
      <c r="S5" s="335">
        <f>CP_Yr_4</f>
        <v>43800</v>
      </c>
      <c r="T5" s="335">
        <f>CP_Yr_5</f>
        <v>44166</v>
      </c>
      <c r="U5" s="335">
        <f>Stub</f>
        <v>44377</v>
      </c>
      <c r="V5" s="335">
        <f>Yr_1</f>
        <v>44742</v>
      </c>
      <c r="W5" s="335">
        <f>Yr_2</f>
        <v>45107</v>
      </c>
      <c r="X5" s="335">
        <f>Yr_3</f>
        <v>45473</v>
      </c>
      <c r="Y5" s="335">
        <f>Yr_4</f>
        <v>45838</v>
      </c>
      <c r="Z5" s="335">
        <f>Yr_5</f>
        <v>46203</v>
      </c>
      <c r="AA5" s="336"/>
      <c r="AB5" s="335">
        <f>CP_Yr_4</f>
        <v>43800</v>
      </c>
      <c r="AC5" s="335">
        <f>CP_Yr_5</f>
        <v>44166</v>
      </c>
      <c r="AD5" s="335">
        <f>Stub</f>
        <v>44377</v>
      </c>
      <c r="AE5" s="335">
        <f>Yr_1</f>
        <v>44742</v>
      </c>
      <c r="AF5" s="335">
        <f>Yr_2</f>
        <v>45107</v>
      </c>
      <c r="AG5" s="335">
        <f>Yr_3</f>
        <v>45473</v>
      </c>
      <c r="AH5" s="335">
        <f>Yr_4</f>
        <v>45838</v>
      </c>
      <c r="AI5" s="335">
        <f>Yr_5</f>
        <v>46203</v>
      </c>
      <c r="AJ5" s="336"/>
      <c r="AK5" s="335">
        <f>CP_Yr_4</f>
        <v>43800</v>
      </c>
      <c r="AL5" s="335">
        <f>CP_Yr_5</f>
        <v>44166</v>
      </c>
      <c r="AM5" s="335">
        <f>Stub</f>
        <v>44377</v>
      </c>
      <c r="AN5" s="335">
        <f>Yr_1</f>
        <v>44742</v>
      </c>
      <c r="AO5" s="335">
        <f>Yr_2</f>
        <v>45107</v>
      </c>
      <c r="AP5" s="335">
        <f>Yr_3</f>
        <v>45473</v>
      </c>
      <c r="AQ5" s="335">
        <f>Yr_4</f>
        <v>45838</v>
      </c>
      <c r="AR5" s="335">
        <f>Yr_5</f>
        <v>46203</v>
      </c>
      <c r="AS5" s="336"/>
      <c r="AT5" s="335">
        <f>CP_Yr_4</f>
        <v>43800</v>
      </c>
      <c r="AU5" s="335">
        <f>CP_Yr_5</f>
        <v>44166</v>
      </c>
      <c r="AV5" s="335">
        <f>Stub</f>
        <v>44377</v>
      </c>
      <c r="AW5" s="335">
        <f>Yr_1</f>
        <v>44742</v>
      </c>
      <c r="AX5" s="335">
        <f>Yr_2</f>
        <v>45107</v>
      </c>
      <c r="AY5" s="335">
        <f>Yr_3</f>
        <v>45473</v>
      </c>
      <c r="AZ5" s="335">
        <f>Yr_4</f>
        <v>45838</v>
      </c>
      <c r="BA5" s="335">
        <f>Yr_5</f>
        <v>46203</v>
      </c>
      <c r="BB5" s="336"/>
      <c r="BC5" s="335">
        <f>CP_Yr_4</f>
        <v>43800</v>
      </c>
      <c r="BD5" s="335">
        <f>CP_Yr_5</f>
        <v>44166</v>
      </c>
      <c r="BE5" s="335">
        <f>Stub</f>
        <v>44377</v>
      </c>
      <c r="BF5" s="335">
        <f>Yr_1</f>
        <v>44742</v>
      </c>
      <c r="BG5" s="335">
        <f>Yr_2</f>
        <v>45107</v>
      </c>
      <c r="BH5" s="335">
        <f>Yr_3</f>
        <v>45473</v>
      </c>
      <c r="BI5" s="335">
        <f>Yr_4</f>
        <v>45838</v>
      </c>
      <c r="BJ5" s="335">
        <f>Yr_5</f>
        <v>46203</v>
      </c>
      <c r="BL5" s="335">
        <f>CP_Yr_4</f>
        <v>43800</v>
      </c>
      <c r="BM5" s="335">
        <f>CP_Yr_5</f>
        <v>44166</v>
      </c>
      <c r="BN5" s="335">
        <f>Stub</f>
        <v>44377</v>
      </c>
      <c r="BO5" s="640" t="s">
        <v>792</v>
      </c>
    </row>
    <row r="6" spans="2:67" x14ac:dyDescent="0.3">
      <c r="B6" s="7"/>
      <c r="C6" s="7"/>
      <c r="D6" s="7"/>
      <c r="E6" s="7"/>
      <c r="F6" s="7"/>
      <c r="G6" s="7"/>
      <c r="H6" s="7"/>
      <c r="I6" s="7"/>
      <c r="J6" s="45"/>
      <c r="K6" s="45"/>
      <c r="L6" s="45"/>
      <c r="M6" s="45"/>
      <c r="N6" s="45"/>
      <c r="O6" s="45"/>
      <c r="P6" s="45"/>
      <c r="Q6" s="45"/>
      <c r="S6" s="47"/>
      <c r="T6" s="47"/>
      <c r="U6" s="47"/>
      <c r="V6" s="47"/>
      <c r="W6" s="47"/>
      <c r="X6" s="47"/>
      <c r="Y6" s="47"/>
      <c r="Z6" s="47"/>
      <c r="AB6" s="47"/>
      <c r="AC6" s="47"/>
      <c r="AD6" s="47"/>
      <c r="AE6" s="47"/>
      <c r="AF6" s="47"/>
      <c r="AG6" s="47"/>
      <c r="AH6" s="47"/>
      <c r="AI6" s="47"/>
      <c r="AK6" s="47"/>
      <c r="AL6" s="47"/>
      <c r="AM6" s="47"/>
      <c r="AN6" s="47"/>
      <c r="AO6" s="47"/>
      <c r="AP6" s="47"/>
      <c r="AQ6" s="47"/>
      <c r="AR6" s="47"/>
      <c r="AT6" s="83"/>
      <c r="AU6" s="83"/>
      <c r="AV6" s="83"/>
      <c r="AW6" s="83"/>
      <c r="AX6" s="83"/>
      <c r="AY6" s="83"/>
      <c r="AZ6" s="83"/>
      <c r="BA6" s="83"/>
      <c r="BC6" s="373">
        <f t="shared" ref="BC6:BJ6" si="0">S6+AB6+AK6+AT6</f>
        <v>0</v>
      </c>
      <c r="BD6" s="373">
        <f t="shared" si="0"/>
        <v>0</v>
      </c>
      <c r="BE6" s="373">
        <f t="shared" si="0"/>
        <v>0</v>
      </c>
      <c r="BF6" s="47">
        <f t="shared" si="0"/>
        <v>0</v>
      </c>
      <c r="BG6" s="47">
        <f t="shared" si="0"/>
        <v>0</v>
      </c>
      <c r="BH6" s="47">
        <f t="shared" si="0"/>
        <v>0</v>
      </c>
      <c r="BI6" s="47">
        <f t="shared" si="0"/>
        <v>0</v>
      </c>
      <c r="BJ6" s="47">
        <f t="shared" si="0"/>
        <v>0</v>
      </c>
      <c r="BL6" s="375"/>
      <c r="BM6" s="375"/>
      <c r="BN6" s="375"/>
    </row>
    <row r="7" spans="2:67" x14ac:dyDescent="0.3">
      <c r="B7" s="7"/>
      <c r="C7" s="7"/>
      <c r="D7" s="7"/>
      <c r="E7" s="7"/>
      <c r="F7" s="7"/>
      <c r="G7" s="7"/>
      <c r="H7" s="7"/>
      <c r="I7" s="7"/>
      <c r="J7" s="45"/>
      <c r="K7" s="45"/>
      <c r="L7" s="45"/>
      <c r="M7" s="45"/>
      <c r="N7" s="45"/>
      <c r="O7" s="45"/>
      <c r="P7" s="45"/>
      <c r="Q7" s="45"/>
      <c r="S7" s="47"/>
      <c r="T7" s="47"/>
      <c r="U7" s="47"/>
      <c r="V7" s="47"/>
      <c r="W7" s="47"/>
      <c r="X7" s="47"/>
      <c r="Y7" s="47"/>
      <c r="Z7" s="47"/>
      <c r="AB7" s="47"/>
      <c r="AC7" s="47"/>
      <c r="AD7" s="47"/>
      <c r="AE7" s="47"/>
      <c r="AF7" s="47"/>
      <c r="AG7" s="47"/>
      <c r="AH7" s="47"/>
      <c r="AI7" s="47"/>
      <c r="AK7" s="47"/>
      <c r="AL7" s="47"/>
      <c r="AM7" s="47"/>
      <c r="AN7" s="47"/>
      <c r="AO7" s="47"/>
      <c r="AP7" s="47"/>
      <c r="AQ7" s="47"/>
      <c r="AR7" s="47"/>
      <c r="AT7" s="83"/>
      <c r="AU7" s="83"/>
      <c r="AV7" s="83"/>
      <c r="AW7" s="83"/>
      <c r="AX7" s="83"/>
      <c r="AY7" s="83"/>
      <c r="AZ7" s="83"/>
      <c r="BA7" s="83"/>
      <c r="BC7" s="373">
        <f t="shared" ref="BC7:BC23" si="1">S7+AB7+AK7+AT7</f>
        <v>0</v>
      </c>
      <c r="BD7" s="373">
        <f t="shared" ref="BD7:BD9" si="2">T7+AC7+AL7+AU7</f>
        <v>0</v>
      </c>
      <c r="BE7" s="373">
        <f t="shared" ref="BE7:BE9" si="3">U7+AD7+AM7+AV7</f>
        <v>0</v>
      </c>
      <c r="BF7" s="47">
        <f t="shared" ref="BF7:BF9" si="4">V7+AE7+AN7+AW7</f>
        <v>0</v>
      </c>
      <c r="BG7" s="47">
        <f t="shared" ref="BG7:BG9" si="5">W7+AF7+AO7+AX7</f>
        <v>0</v>
      </c>
      <c r="BH7" s="47">
        <f t="shared" ref="BH7:BH9" si="6">X7+AG7+AP7+AY7</f>
        <v>0</v>
      </c>
      <c r="BI7" s="47">
        <f t="shared" ref="BI7:BI9" si="7">Y7+AH7+AQ7+AZ7</f>
        <v>0</v>
      </c>
      <c r="BJ7" s="47">
        <f t="shared" ref="BJ7:BJ9" si="8">Z7+AI7+AR7+BA7</f>
        <v>0</v>
      </c>
      <c r="BL7" s="375"/>
      <c r="BM7" s="375"/>
      <c r="BN7" s="375"/>
    </row>
    <row r="8" spans="2:67" x14ac:dyDescent="0.3">
      <c r="B8" s="7"/>
      <c r="C8" s="7"/>
      <c r="D8" s="7"/>
      <c r="E8" s="7"/>
      <c r="F8" s="7"/>
      <c r="G8" s="7"/>
      <c r="H8" s="7"/>
      <c r="I8" s="7"/>
      <c r="J8" s="45"/>
      <c r="K8" s="45"/>
      <c r="L8" s="45"/>
      <c r="M8" s="45"/>
      <c r="N8" s="45"/>
      <c r="O8" s="45"/>
      <c r="P8" s="45"/>
      <c r="Q8" s="45"/>
      <c r="S8" s="47"/>
      <c r="T8" s="47"/>
      <c r="U8" s="47"/>
      <c r="V8" s="47"/>
      <c r="W8" s="47"/>
      <c r="X8" s="47"/>
      <c r="Y8" s="47"/>
      <c r="Z8" s="47"/>
      <c r="AB8" s="47"/>
      <c r="AC8" s="47"/>
      <c r="AD8" s="47"/>
      <c r="AE8" s="47"/>
      <c r="AF8" s="47"/>
      <c r="AG8" s="47"/>
      <c r="AH8" s="47"/>
      <c r="AI8" s="47"/>
      <c r="AK8" s="47"/>
      <c r="AL8" s="47"/>
      <c r="AM8" s="47"/>
      <c r="AN8" s="47"/>
      <c r="AO8" s="47"/>
      <c r="AP8" s="47"/>
      <c r="AQ8" s="47"/>
      <c r="AR8" s="47"/>
      <c r="AT8" s="83"/>
      <c r="AU8" s="83"/>
      <c r="AV8" s="83"/>
      <c r="AW8" s="83"/>
      <c r="AX8" s="83"/>
      <c r="AY8" s="83"/>
      <c r="AZ8" s="83"/>
      <c r="BA8" s="83"/>
      <c r="BC8" s="373">
        <f t="shared" si="1"/>
        <v>0</v>
      </c>
      <c r="BD8" s="373">
        <f t="shared" si="2"/>
        <v>0</v>
      </c>
      <c r="BE8" s="373">
        <f t="shared" si="3"/>
        <v>0</v>
      </c>
      <c r="BF8" s="47">
        <f t="shared" si="4"/>
        <v>0</v>
      </c>
      <c r="BG8" s="47">
        <f t="shared" si="5"/>
        <v>0</v>
      </c>
      <c r="BH8" s="47">
        <f t="shared" si="6"/>
        <v>0</v>
      </c>
      <c r="BI8" s="47">
        <f t="shared" si="7"/>
        <v>0</v>
      </c>
      <c r="BJ8" s="47">
        <f t="shared" si="8"/>
        <v>0</v>
      </c>
      <c r="BL8" s="375"/>
      <c r="BM8" s="375"/>
      <c r="BN8" s="375"/>
    </row>
    <row r="9" spans="2:67" x14ac:dyDescent="0.3">
      <c r="B9" s="7"/>
      <c r="C9" s="7"/>
      <c r="D9" s="256"/>
      <c r="E9" s="7"/>
      <c r="F9" s="7"/>
      <c r="G9" s="7"/>
      <c r="H9" s="7"/>
      <c r="I9" s="7"/>
      <c r="J9" s="45"/>
      <c r="K9" s="45"/>
      <c r="L9" s="45"/>
      <c r="M9" s="45"/>
      <c r="N9" s="45"/>
      <c r="O9" s="45"/>
      <c r="P9" s="45"/>
      <c r="Q9" s="45"/>
      <c r="S9" s="47"/>
      <c r="T9" s="47"/>
      <c r="U9" s="47"/>
      <c r="V9" s="47"/>
      <c r="W9" s="47"/>
      <c r="X9" s="47"/>
      <c r="Y9" s="47"/>
      <c r="Z9" s="47"/>
      <c r="AB9" s="47"/>
      <c r="AC9" s="47"/>
      <c r="AD9" s="47"/>
      <c r="AE9" s="47"/>
      <c r="AF9" s="47"/>
      <c r="AG9" s="47"/>
      <c r="AH9" s="47"/>
      <c r="AI9" s="47"/>
      <c r="AK9" s="47"/>
      <c r="AL9" s="47"/>
      <c r="AM9" s="47"/>
      <c r="AN9" s="47"/>
      <c r="AO9" s="47"/>
      <c r="AP9" s="47"/>
      <c r="AQ9" s="47"/>
      <c r="AR9" s="47"/>
      <c r="AT9" s="83"/>
      <c r="AU9" s="83"/>
      <c r="AV9" s="83"/>
      <c r="AW9" s="83"/>
      <c r="AX9" s="83"/>
      <c r="AY9" s="83"/>
      <c r="AZ9" s="83"/>
      <c r="BA9" s="83"/>
      <c r="BC9" s="373">
        <f t="shared" si="1"/>
        <v>0</v>
      </c>
      <c r="BD9" s="373">
        <f t="shared" si="2"/>
        <v>0</v>
      </c>
      <c r="BE9" s="373">
        <f t="shared" si="3"/>
        <v>0</v>
      </c>
      <c r="BF9" s="47">
        <f t="shared" si="4"/>
        <v>0</v>
      </c>
      <c r="BG9" s="47">
        <f t="shared" si="5"/>
        <v>0</v>
      </c>
      <c r="BH9" s="47">
        <f t="shared" si="6"/>
        <v>0</v>
      </c>
      <c r="BI9" s="47">
        <f t="shared" si="7"/>
        <v>0</v>
      </c>
      <c r="BJ9" s="47">
        <f t="shared" si="8"/>
        <v>0</v>
      </c>
      <c r="BL9" s="375"/>
      <c r="BM9" s="375"/>
      <c r="BN9" s="375"/>
    </row>
    <row r="10" spans="2:67" x14ac:dyDescent="0.3">
      <c r="B10" s="7"/>
      <c r="C10" s="7" t="s">
        <v>112</v>
      </c>
      <c r="D10" s="7" t="s">
        <v>526</v>
      </c>
      <c r="E10" s="7" t="s">
        <v>48</v>
      </c>
      <c r="F10" s="7" t="s">
        <v>48</v>
      </c>
      <c r="G10" s="7" t="s">
        <v>150</v>
      </c>
      <c r="H10" s="7" t="s">
        <v>547</v>
      </c>
      <c r="I10" s="7" t="s">
        <v>323</v>
      </c>
      <c r="J10" s="45">
        <v>0</v>
      </c>
      <c r="K10" s="45">
        <v>0</v>
      </c>
      <c r="L10" s="45">
        <v>6222.5411275709348</v>
      </c>
      <c r="M10" s="45">
        <v>1085.7660000000001</v>
      </c>
      <c r="N10" s="45">
        <v>542.88300000000004</v>
      </c>
      <c r="O10" s="45">
        <v>0</v>
      </c>
      <c r="P10" s="45">
        <v>0</v>
      </c>
      <c r="Q10" s="45">
        <v>0</v>
      </c>
      <c r="S10" s="47">
        <f>INDEX(Direct_Cost_Splits_Network,MATCH($H10,RIN_Asset_Cat_Network,0),MATCH($S$4,Direct_Cost_Type,0))*J10*HLOOKUP(S$5,Escalators!$I$25:$U$30,3,FALSE)</f>
        <v>0</v>
      </c>
      <c r="T10" s="47">
        <f>INDEX(Direct_Cost_Splits_Network,MATCH($H10,RIN_Asset_Cat_Network,0),MATCH($S$4,Direct_Cost_Type,0))*K10*HLOOKUP(T$5,Escalators!$I$25:$U$30,3,FALSE)</f>
        <v>0</v>
      </c>
      <c r="U10" s="47">
        <f>INDEX(Direct_Cost_Splits_Network,MATCH($H10,RIN_Asset_Cat_Network,0),MATCH($S$4,Direct_Cost_Type,0))*L10*HLOOKUP(U$5,Escalators!$I$25:$U$30,3,FALSE)</f>
        <v>1209.7416866675424</v>
      </c>
      <c r="V10" s="47">
        <f>INDEX(Direct_Cost_Splits_Network,MATCH($H10,RIN_Asset_Cat_Network,0),MATCH($S$4,Direct_Cost_Type,0))*M10*HLOOKUP(V$5,Escalators!$I$25:$U$30,3,FALSE)</f>
        <v>213.10645357788471</v>
      </c>
      <c r="W10" s="47">
        <f>INDEX(Direct_Cost_Splits_Network,MATCH($H10,RIN_Asset_Cat_Network,0),MATCH($S$4,Direct_Cost_Type,0))*N10*HLOOKUP(W$5,Escalators!$I$25:$U$30,3,FALSE)</f>
        <v>107.64648018425902</v>
      </c>
      <c r="X10" s="47">
        <f>INDEX(Direct_Cost_Splits_Network,MATCH($H10,RIN_Asset_Cat_Network,0),MATCH($S$4,Direct_Cost_Type,0))*O10*HLOOKUP(X$5,Escalators!$I$25:$U$30,3,FALSE)</f>
        <v>0</v>
      </c>
      <c r="Y10" s="47">
        <f>INDEX(Direct_Cost_Splits_Network,MATCH($H10,RIN_Asset_Cat_Network,0),MATCH($S$4,Direct_Cost_Type,0))*P10*HLOOKUP(Y$5,Escalators!$I$25:$U$30,3,FALSE)</f>
        <v>0</v>
      </c>
      <c r="Z10" s="47">
        <f>INDEX(Direct_Cost_Splits_Network,MATCH($H10,RIN_Asset_Cat_Network,0),MATCH($S$4,Direct_Cost_Type,0))*Q10*HLOOKUP(Z$5,Escalators!$I$25:$U$30,3,FALSE)</f>
        <v>0</v>
      </c>
      <c r="AB10" s="47">
        <f t="shared" ref="AB10:AI13" si="9">INDEX(Direct_Cost_Splits_Network,MATCH($H10,RIN_Asset_Cat_Network,0),MATCH($AB$4,Direct_Cost_Type,0))*J10</f>
        <v>0</v>
      </c>
      <c r="AC10" s="47">
        <f t="shared" si="9"/>
        <v>0</v>
      </c>
      <c r="AD10" s="47">
        <f t="shared" si="9"/>
        <v>5040.2583133324579</v>
      </c>
      <c r="AE10" s="47">
        <f t="shared" si="9"/>
        <v>879.47046000000012</v>
      </c>
      <c r="AF10" s="47">
        <f t="shared" si="9"/>
        <v>439.73523000000006</v>
      </c>
      <c r="AG10" s="47">
        <f t="shared" si="9"/>
        <v>0</v>
      </c>
      <c r="AH10" s="47">
        <f t="shared" si="9"/>
        <v>0</v>
      </c>
      <c r="AI10" s="47">
        <f t="shared" si="9"/>
        <v>0</v>
      </c>
      <c r="AK10" s="47">
        <f>INDEX(Direct_Cost_Splits_Network,MATCH($H10,RIN_Asset_Cat_Network,0),MATCH($AK$4,Direct_Cost_Type,0))*J10*HLOOKUP(AK$5,Escalators!$I$25:$U$30,6,FALSE)</f>
        <v>0</v>
      </c>
      <c r="AL10" s="47">
        <f>INDEX(Direct_Cost_Splits_Network,MATCH($H10,RIN_Asset_Cat_Network,0),MATCH($AK$4,Direct_Cost_Type,0))*K10*HLOOKUP(AL$5,Escalators!$I$25:$U$30,6,FALSE)</f>
        <v>0</v>
      </c>
      <c r="AM10" s="47">
        <f>INDEX(Direct_Cost_Splits_Network,MATCH($H10,RIN_Asset_Cat_Network,0),MATCH($AK$4,Direct_Cost_Type,0))*L10*HLOOKUP(AM$5,Escalators!$I$25:$U$30,6,FALSE)</f>
        <v>0</v>
      </c>
      <c r="AN10" s="47">
        <f>INDEX(Direct_Cost_Splits_Network,MATCH($H10,RIN_Asset_Cat_Network,0),MATCH($AK$4,Direct_Cost_Type,0))*M10*HLOOKUP(AN$5,Escalators!$I$25:$U$30,6,FALSE)</f>
        <v>0</v>
      </c>
      <c r="AO10" s="47">
        <f>INDEX(Direct_Cost_Splits_Network,MATCH($H10,RIN_Asset_Cat_Network,0),MATCH($AK$4,Direct_Cost_Type,0))*N10*HLOOKUP(AO$5,Escalators!$I$25:$U$30,6,FALSE)</f>
        <v>0</v>
      </c>
      <c r="AP10" s="47">
        <f>INDEX(Direct_Cost_Splits_Network,MATCH($H10,RIN_Asset_Cat_Network,0),MATCH($AK$4,Direct_Cost_Type,0))*O10*HLOOKUP(AP$5,Escalators!$I$25:$U$30,6,FALSE)</f>
        <v>0</v>
      </c>
      <c r="AQ10" s="47">
        <f>INDEX(Direct_Cost_Splits_Network,MATCH($H10,RIN_Asset_Cat_Network,0),MATCH($AK$4,Direct_Cost_Type,0))*P10*HLOOKUP(AQ$5,Escalators!$I$25:$U$30,6,FALSE)</f>
        <v>0</v>
      </c>
      <c r="AR10" s="47">
        <f>INDEX(Direct_Cost_Splits_Network,MATCH($H10,RIN_Asset_Cat_Network,0),MATCH($AK$4,Direct_Cost_Type,0))*Q10*HLOOKUP(AR$5,Escalators!$I$25:$U$30,6,FALSE)</f>
        <v>0</v>
      </c>
      <c r="AT10" s="47">
        <f t="shared" ref="AT10:BA13" si="10">INDEX(Direct_Cost_Splits_Network,MATCH($H10,RIN_Asset_Cat_Network,0),MATCH($AT$4,Direct_Cost_Type,0))*J10</f>
        <v>0</v>
      </c>
      <c r="AU10" s="47">
        <f t="shared" si="10"/>
        <v>0</v>
      </c>
      <c r="AV10" s="47">
        <f t="shared" si="10"/>
        <v>0</v>
      </c>
      <c r="AW10" s="47">
        <f t="shared" si="10"/>
        <v>0</v>
      </c>
      <c r="AX10" s="47">
        <f t="shared" si="10"/>
        <v>0</v>
      </c>
      <c r="AY10" s="47">
        <f t="shared" si="10"/>
        <v>0</v>
      </c>
      <c r="AZ10" s="47">
        <f t="shared" si="10"/>
        <v>0</v>
      </c>
      <c r="BA10" s="47">
        <f t="shared" si="10"/>
        <v>0</v>
      </c>
      <c r="BC10" s="373">
        <f t="shared" ref="BC10:BC22" si="11">S10+AB10+AK10+AT10</f>
        <v>0</v>
      </c>
      <c r="BD10" s="373">
        <f t="shared" ref="BD10:BD22" si="12">T10+AC10+AL10+AU10</f>
        <v>0</v>
      </c>
      <c r="BE10" s="373">
        <f t="shared" ref="BE10:BE22" si="13">U10+AD10+AM10+AV10</f>
        <v>6250</v>
      </c>
      <c r="BF10" s="47">
        <f t="shared" ref="BF10:BF22" si="14">V10+AE10+AN10+AW10</f>
        <v>1092.5769135778849</v>
      </c>
      <c r="BG10" s="47">
        <f t="shared" ref="BG10:BG22" si="15">W10+AF10+AO10+AX10</f>
        <v>547.38171018425908</v>
      </c>
      <c r="BH10" s="47">
        <f t="shared" ref="BH10:BH22" si="16">X10+AG10+AP10+AY10</f>
        <v>0</v>
      </c>
      <c r="BI10" s="47">
        <f t="shared" ref="BI10:BI22" si="17">Y10+AH10+AQ10+AZ10</f>
        <v>0</v>
      </c>
      <c r="BJ10" s="47">
        <f t="shared" ref="BJ10:BJ22" si="18">Z10+AI10+AR10+BA10</f>
        <v>0</v>
      </c>
      <c r="BL10" s="375">
        <f>BC10*(1+AusNet_Overheads!H$20)*RFM_PTRM!L$3</f>
        <v>0</v>
      </c>
      <c r="BM10" s="375">
        <f>BD10*(1+AusNet_Overheads!I$20)*RFM_PTRM!M$3</f>
        <v>0</v>
      </c>
      <c r="BN10" s="375">
        <f>BE10*(1+AusNet_Overheads!J$20)*RFM_PTRM!N$3</f>
        <v>7183.4858525362488</v>
      </c>
      <c r="BO10" s="641" t="str">
        <f>E10</f>
        <v>SCADA/Network control</v>
      </c>
    </row>
    <row r="11" spans="2:67" x14ac:dyDescent="0.3">
      <c r="B11" s="7"/>
      <c r="C11" s="7" t="s">
        <v>112</v>
      </c>
      <c r="D11" s="7" t="s">
        <v>564</v>
      </c>
      <c r="E11" s="7" t="s">
        <v>48</v>
      </c>
      <c r="F11" s="7" t="s">
        <v>48</v>
      </c>
      <c r="G11" s="7" t="s">
        <v>150</v>
      </c>
      <c r="H11" s="7" t="s">
        <v>548</v>
      </c>
      <c r="I11" s="7" t="s">
        <v>323</v>
      </c>
      <c r="J11" s="45">
        <v>0</v>
      </c>
      <c r="K11" s="45">
        <v>0</v>
      </c>
      <c r="L11" s="45">
        <v>37.326615634672592</v>
      </c>
      <c r="M11" s="45">
        <v>1225</v>
      </c>
      <c r="N11" s="45">
        <v>75</v>
      </c>
      <c r="O11" s="45">
        <v>75</v>
      </c>
      <c r="P11" s="45">
        <v>75</v>
      </c>
      <c r="Q11" s="45">
        <v>75</v>
      </c>
      <c r="S11" s="47">
        <f>INDEX(Direct_Cost_Splits_Network,MATCH($H11,RIN_Asset_Cat_Network,0),MATCH($S$4,Direct_Cost_Type,0))*J11*HLOOKUP(S$5,Escalators!$I$25:$U$30,3,FALSE)</f>
        <v>0</v>
      </c>
      <c r="T11" s="47">
        <f>INDEX(Direct_Cost_Splits_Network,MATCH($H11,RIN_Asset_Cat_Network,0),MATCH($S$4,Direct_Cost_Type,0))*K11*HLOOKUP(T$5,Escalators!$I$25:$U$30,3,FALSE)</f>
        <v>0</v>
      </c>
      <c r="U11" s="47">
        <f>INDEX(Direct_Cost_Splits_Network,MATCH($H11,RIN_Asset_Cat_Network,0),MATCH($S$4,Direct_Cost_Type,0))*L11*HLOOKUP(U$5,Escalators!$I$25:$U$30,3,FALSE)</f>
        <v>7.6387074922619274</v>
      </c>
      <c r="V11" s="47">
        <f>INDEX(Direct_Cost_Splits_Network,MATCH($H11,RIN_Asset_Cat_Network,0),MATCH($S$4,Direct_Cost_Type,0))*M11*HLOOKUP(V$5,Escalators!$I$25:$U$30,3,FALSE)</f>
        <v>253.0887537684128</v>
      </c>
      <c r="W11" s="47">
        <f>INDEX(Direct_Cost_Splits_Network,MATCH($H11,RIN_Asset_Cat_Network,0),MATCH($S$4,Direct_Cost_Type,0))*N11*HLOOKUP(W$5,Escalators!$I$25:$U$30,3,FALSE)</f>
        <v>15.654213394665586</v>
      </c>
      <c r="X11" s="47">
        <f>INDEX(Direct_Cost_Splits_Network,MATCH($H11,RIN_Asset_Cat_Network,0),MATCH($S$4,Direct_Cost_Type,0))*O11*HLOOKUP(X$5,Escalators!$I$25:$U$30,3,FALSE)</f>
        <v>15.822713546553953</v>
      </c>
      <c r="Y11" s="47">
        <f>INDEX(Direct_Cost_Splits_Network,MATCH($H11,RIN_Asset_Cat_Network,0),MATCH($S$4,Direct_Cost_Type,0))*P11*HLOOKUP(Y$5,Escalators!$I$25:$U$30,3,FALSE)</f>
        <v>15.972321405137764</v>
      </c>
      <c r="Z11" s="47">
        <f>INDEX(Direct_Cost_Splits_Network,MATCH($H11,RIN_Asset_Cat_Network,0),MATCH($S$4,Direct_Cost_Type,0))*Q11*HLOOKUP(Z$5,Escalators!$I$25:$U$30,3,FALSE)</f>
        <v>16.112877833502974</v>
      </c>
      <c r="AB11" s="47">
        <f t="shared" si="9"/>
        <v>0</v>
      </c>
      <c r="AC11" s="47">
        <f t="shared" si="9"/>
        <v>0</v>
      </c>
      <c r="AD11" s="47">
        <f t="shared" si="9"/>
        <v>29.861292507738074</v>
      </c>
      <c r="AE11" s="47">
        <f t="shared" si="9"/>
        <v>980</v>
      </c>
      <c r="AF11" s="47">
        <f t="shared" si="9"/>
        <v>60</v>
      </c>
      <c r="AG11" s="47">
        <f t="shared" si="9"/>
        <v>60</v>
      </c>
      <c r="AH11" s="47">
        <f t="shared" si="9"/>
        <v>60</v>
      </c>
      <c r="AI11" s="47">
        <f t="shared" si="9"/>
        <v>60</v>
      </c>
      <c r="AK11" s="47">
        <f>INDEX(Direct_Cost_Splits_Network,MATCH($H11,RIN_Asset_Cat_Network,0),MATCH($AK$4,Direct_Cost_Type,0))*J11*HLOOKUP(AK$5,Escalators!$I$25:$U$30,6,FALSE)</f>
        <v>0</v>
      </c>
      <c r="AL11" s="47">
        <f>INDEX(Direct_Cost_Splits_Network,MATCH($H11,RIN_Asset_Cat_Network,0),MATCH($AK$4,Direct_Cost_Type,0))*K11*HLOOKUP(AL$5,Escalators!$I$25:$U$30,6,FALSE)</f>
        <v>0</v>
      </c>
      <c r="AM11" s="47">
        <f>INDEX(Direct_Cost_Splits_Network,MATCH($H11,RIN_Asset_Cat_Network,0),MATCH($AK$4,Direct_Cost_Type,0))*L11*HLOOKUP(AM$5,Escalators!$I$25:$U$30,6,FALSE)</f>
        <v>0</v>
      </c>
      <c r="AN11" s="47">
        <f>INDEX(Direct_Cost_Splits_Network,MATCH($H11,RIN_Asset_Cat_Network,0),MATCH($AK$4,Direct_Cost_Type,0))*M11*HLOOKUP(AN$5,Escalators!$I$25:$U$30,6,FALSE)</f>
        <v>0</v>
      </c>
      <c r="AO11" s="47">
        <f>INDEX(Direct_Cost_Splits_Network,MATCH($H11,RIN_Asset_Cat_Network,0),MATCH($AK$4,Direct_Cost_Type,0))*N11*HLOOKUP(AO$5,Escalators!$I$25:$U$30,6,FALSE)</f>
        <v>0</v>
      </c>
      <c r="AP11" s="47">
        <f>INDEX(Direct_Cost_Splits_Network,MATCH($H11,RIN_Asset_Cat_Network,0),MATCH($AK$4,Direct_Cost_Type,0))*O11*HLOOKUP(AP$5,Escalators!$I$25:$U$30,6,FALSE)</f>
        <v>0</v>
      </c>
      <c r="AQ11" s="47">
        <f>INDEX(Direct_Cost_Splits_Network,MATCH($H11,RIN_Asset_Cat_Network,0),MATCH($AK$4,Direct_Cost_Type,0))*P11*HLOOKUP(AQ$5,Escalators!$I$25:$U$30,6,FALSE)</f>
        <v>0</v>
      </c>
      <c r="AR11" s="47">
        <f>INDEX(Direct_Cost_Splits_Network,MATCH($H11,RIN_Asset_Cat_Network,0),MATCH($AK$4,Direct_Cost_Type,0))*Q11*HLOOKUP(AR$5,Escalators!$I$25:$U$30,6,FALSE)</f>
        <v>0</v>
      </c>
      <c r="AT11" s="47">
        <f t="shared" si="10"/>
        <v>0</v>
      </c>
      <c r="AU11" s="47">
        <f t="shared" si="10"/>
        <v>0</v>
      </c>
      <c r="AV11" s="47">
        <f t="shared" si="10"/>
        <v>0</v>
      </c>
      <c r="AW11" s="47">
        <f t="shared" si="10"/>
        <v>0</v>
      </c>
      <c r="AX11" s="47">
        <f t="shared" si="10"/>
        <v>0</v>
      </c>
      <c r="AY11" s="47">
        <f t="shared" si="10"/>
        <v>0</v>
      </c>
      <c r="AZ11" s="47">
        <f t="shared" si="10"/>
        <v>0</v>
      </c>
      <c r="BA11" s="47">
        <f t="shared" si="10"/>
        <v>0</v>
      </c>
      <c r="BC11" s="373">
        <f t="shared" si="11"/>
        <v>0</v>
      </c>
      <c r="BD11" s="373">
        <f t="shared" si="12"/>
        <v>0</v>
      </c>
      <c r="BE11" s="373">
        <f t="shared" si="13"/>
        <v>37.5</v>
      </c>
      <c r="BF11" s="47">
        <f t="shared" si="14"/>
        <v>1233.0887537684127</v>
      </c>
      <c r="BG11" s="47">
        <f t="shared" si="15"/>
        <v>75.654213394665589</v>
      </c>
      <c r="BH11" s="47">
        <f t="shared" si="16"/>
        <v>75.822713546553956</v>
      </c>
      <c r="BI11" s="47">
        <f t="shared" si="17"/>
        <v>75.972321405137762</v>
      </c>
      <c r="BJ11" s="47">
        <f t="shared" si="18"/>
        <v>76.112877833502978</v>
      </c>
      <c r="BL11" s="375">
        <f>BC11*(1+AusNet_Overheads!H$20)*RFM_PTRM!L$3</f>
        <v>0</v>
      </c>
      <c r="BM11" s="375">
        <f>BD11*(1+AusNet_Overheads!I$20)*RFM_PTRM!M$3</f>
        <v>0</v>
      </c>
      <c r="BN11" s="375">
        <f>BE11*(1+AusNet_Overheads!J$20)*RFM_PTRM!N$3</f>
        <v>43.100915115217489</v>
      </c>
      <c r="BO11" s="641" t="str">
        <f t="shared" ref="BO11:BO14" si="19">E11</f>
        <v>SCADA/Network control</v>
      </c>
    </row>
    <row r="12" spans="2:67" x14ac:dyDescent="0.3">
      <c r="B12" s="7"/>
      <c r="C12" s="7" t="s">
        <v>112</v>
      </c>
      <c r="D12" s="7" t="s">
        <v>565</v>
      </c>
      <c r="E12" s="7" t="s">
        <v>48</v>
      </c>
      <c r="F12" s="7" t="s">
        <v>48</v>
      </c>
      <c r="G12" s="7" t="s">
        <v>150</v>
      </c>
      <c r="H12" s="7" t="s">
        <v>547</v>
      </c>
      <c r="I12" s="7" t="s">
        <v>323</v>
      </c>
      <c r="J12" s="45">
        <v>0</v>
      </c>
      <c r="K12" s="45">
        <v>0</v>
      </c>
      <c r="L12" s="45">
        <v>1342.6129536848616</v>
      </c>
      <c r="M12" s="45">
        <v>2701.5236131372544</v>
      </c>
      <c r="N12" s="45">
        <v>2752.8439412091502</v>
      </c>
      <c r="O12" s="45">
        <v>2795.9668781045748</v>
      </c>
      <c r="P12" s="45">
        <v>2954.4151490522868</v>
      </c>
      <c r="Q12" s="45">
        <v>2892.9615123202607</v>
      </c>
      <c r="S12" s="47">
        <f>INDEX(Direct_Cost_Splits_Network,MATCH($H12,RIN_Asset_Cat_Network,0),MATCH($S$4,Direct_Cost_Type,0))*J12*HLOOKUP(S$5,Escalators!$I$25:$U$30,3,FALSE)</f>
        <v>0</v>
      </c>
      <c r="T12" s="47">
        <f>INDEX(Direct_Cost_Splits_Network,MATCH($H12,RIN_Asset_Cat_Network,0),MATCH($S$4,Direct_Cost_Type,0))*K12*HLOOKUP(T$5,Escalators!$I$25:$U$30,3,FALSE)</f>
        <v>0</v>
      </c>
      <c r="U12" s="47">
        <f>INDEX(Direct_Cost_Splits_Network,MATCH($H12,RIN_Asset_Cat_Network,0),MATCH($S$4,Direct_Cost_Type,0))*L12*HLOOKUP(U$5,Escalators!$I$25:$U$30,3,FALSE)</f>
        <v>261.02115290742205</v>
      </c>
      <c r="V12" s="47">
        <f>INDEX(Direct_Cost_Splits_Network,MATCH($H12,RIN_Asset_Cat_Network,0),MATCH($S$4,Direct_Cost_Type,0))*M12*HLOOKUP(V$5,Escalators!$I$25:$U$30,3,FALSE)</f>
        <v>530.2359039172286</v>
      </c>
      <c r="W12" s="47">
        <f>INDEX(Direct_Cost_Splits_Network,MATCH($H12,RIN_Asset_Cat_Network,0),MATCH($S$4,Direct_Cost_Type,0))*N12*HLOOKUP(W$5,Escalators!$I$25:$U$30,3,FALSE)</f>
        <v>545.85234897340354</v>
      </c>
      <c r="X12" s="47">
        <f>INDEX(Direct_Cost_Splits_Network,MATCH($H12,RIN_Asset_Cat_Network,0),MATCH($S$4,Direct_Cost_Type,0))*O12*HLOOKUP(X$5,Escalators!$I$25:$U$30,3,FALSE)</f>
        <v>560.37058464008464</v>
      </c>
      <c r="Y12" s="47">
        <f>INDEX(Direct_Cost_Splits_Network,MATCH($H12,RIN_Asset_Cat_Network,0),MATCH($S$4,Direct_Cost_Type,0))*P12*HLOOKUP(Y$5,Escalators!$I$25:$U$30,3,FALSE)</f>
        <v>597.72566544836741</v>
      </c>
      <c r="Z12" s="47">
        <f>INDEX(Direct_Cost_Splits_Network,MATCH($H12,RIN_Asset_Cat_Network,0),MATCH($S$4,Direct_Cost_Type,0))*Q12*HLOOKUP(Z$5,Escalators!$I$25:$U$30,3,FALSE)</f>
        <v>590.44318205053673</v>
      </c>
      <c r="AB12" s="47">
        <f t="shared" si="9"/>
        <v>0</v>
      </c>
      <c r="AC12" s="47">
        <f t="shared" si="9"/>
        <v>0</v>
      </c>
      <c r="AD12" s="47">
        <f t="shared" si="9"/>
        <v>1087.5164924847379</v>
      </c>
      <c r="AE12" s="47">
        <f t="shared" si="9"/>
        <v>2188.2341266411763</v>
      </c>
      <c r="AF12" s="47">
        <f t="shared" si="9"/>
        <v>2229.8035923794118</v>
      </c>
      <c r="AG12" s="47">
        <f t="shared" si="9"/>
        <v>2264.7331712647056</v>
      </c>
      <c r="AH12" s="47">
        <f t="shared" si="9"/>
        <v>2393.0762707323524</v>
      </c>
      <c r="AI12" s="47">
        <f t="shared" si="9"/>
        <v>2343.2988249794112</v>
      </c>
      <c r="AK12" s="47">
        <f>INDEX(Direct_Cost_Splits_Network,MATCH($H12,RIN_Asset_Cat_Network,0),MATCH($AK$4,Direct_Cost_Type,0))*J12*HLOOKUP(AK$5,Escalators!$I$25:$U$30,6,FALSE)</f>
        <v>0</v>
      </c>
      <c r="AL12" s="47">
        <f>INDEX(Direct_Cost_Splits_Network,MATCH($H12,RIN_Asset_Cat_Network,0),MATCH($AK$4,Direct_Cost_Type,0))*K12*HLOOKUP(AL$5,Escalators!$I$25:$U$30,6,FALSE)</f>
        <v>0</v>
      </c>
      <c r="AM12" s="47">
        <f>INDEX(Direct_Cost_Splits_Network,MATCH($H12,RIN_Asset_Cat_Network,0),MATCH($AK$4,Direct_Cost_Type,0))*L12*HLOOKUP(AM$5,Escalators!$I$25:$U$30,6,FALSE)</f>
        <v>0</v>
      </c>
      <c r="AN12" s="47">
        <f>INDEX(Direct_Cost_Splits_Network,MATCH($H12,RIN_Asset_Cat_Network,0),MATCH($AK$4,Direct_Cost_Type,0))*M12*HLOOKUP(AN$5,Escalators!$I$25:$U$30,6,FALSE)</f>
        <v>0</v>
      </c>
      <c r="AO12" s="47">
        <f>INDEX(Direct_Cost_Splits_Network,MATCH($H12,RIN_Asset_Cat_Network,0),MATCH($AK$4,Direct_Cost_Type,0))*N12*HLOOKUP(AO$5,Escalators!$I$25:$U$30,6,FALSE)</f>
        <v>0</v>
      </c>
      <c r="AP12" s="47">
        <f>INDEX(Direct_Cost_Splits_Network,MATCH($H12,RIN_Asset_Cat_Network,0),MATCH($AK$4,Direct_Cost_Type,0))*O12*HLOOKUP(AP$5,Escalators!$I$25:$U$30,6,FALSE)</f>
        <v>0</v>
      </c>
      <c r="AQ12" s="47">
        <f>INDEX(Direct_Cost_Splits_Network,MATCH($H12,RIN_Asset_Cat_Network,0),MATCH($AK$4,Direct_Cost_Type,0))*P12*HLOOKUP(AQ$5,Escalators!$I$25:$U$30,6,FALSE)</f>
        <v>0</v>
      </c>
      <c r="AR12" s="47">
        <f>INDEX(Direct_Cost_Splits_Network,MATCH($H12,RIN_Asset_Cat_Network,0),MATCH($AK$4,Direct_Cost_Type,0))*Q12*HLOOKUP(AR$5,Escalators!$I$25:$U$30,6,FALSE)</f>
        <v>0</v>
      </c>
      <c r="AT12" s="47">
        <f t="shared" si="10"/>
        <v>0</v>
      </c>
      <c r="AU12" s="47">
        <f t="shared" si="10"/>
        <v>0</v>
      </c>
      <c r="AV12" s="47">
        <f t="shared" si="10"/>
        <v>0</v>
      </c>
      <c r="AW12" s="47">
        <f t="shared" si="10"/>
        <v>0</v>
      </c>
      <c r="AX12" s="47">
        <f t="shared" si="10"/>
        <v>0</v>
      </c>
      <c r="AY12" s="47">
        <f t="shared" si="10"/>
        <v>0</v>
      </c>
      <c r="AZ12" s="47">
        <f t="shared" si="10"/>
        <v>0</v>
      </c>
      <c r="BA12" s="47">
        <f t="shared" si="10"/>
        <v>0</v>
      </c>
      <c r="BC12" s="373">
        <f t="shared" si="11"/>
        <v>0</v>
      </c>
      <c r="BD12" s="373">
        <f t="shared" si="12"/>
        <v>0</v>
      </c>
      <c r="BE12" s="373">
        <f t="shared" si="13"/>
        <v>1348.5376453921599</v>
      </c>
      <c r="BF12" s="47">
        <f t="shared" si="14"/>
        <v>2718.4700305584047</v>
      </c>
      <c r="BG12" s="47">
        <f t="shared" si="15"/>
        <v>2775.6559413528153</v>
      </c>
      <c r="BH12" s="47">
        <f t="shared" si="16"/>
        <v>2825.10375590479</v>
      </c>
      <c r="BI12" s="47">
        <f t="shared" si="17"/>
        <v>2990.8019361807201</v>
      </c>
      <c r="BJ12" s="47">
        <f t="shared" si="18"/>
        <v>2933.7420070299477</v>
      </c>
      <c r="BL12" s="375">
        <f>BC12*(1+AusNet_Overheads!H$20)*RFM_PTRM!L$3</f>
        <v>0</v>
      </c>
      <c r="BM12" s="375">
        <f>BD12*(1+AusNet_Overheads!I$20)*RFM_PTRM!M$3</f>
        <v>0</v>
      </c>
      <c r="BN12" s="375">
        <f>BE12*(1+AusNet_Overheads!J$20)*RFM_PTRM!N$3</f>
        <v>1549.95217556594</v>
      </c>
      <c r="BO12" s="641" t="str">
        <f t="shared" si="19"/>
        <v>SCADA/Network control</v>
      </c>
    </row>
    <row r="13" spans="2:67" x14ac:dyDescent="0.3">
      <c r="B13" s="7" t="s">
        <v>685</v>
      </c>
      <c r="C13" s="7" t="s">
        <v>112</v>
      </c>
      <c r="D13" s="7" t="s">
        <v>519</v>
      </c>
      <c r="E13" s="7" t="s">
        <v>48</v>
      </c>
      <c r="F13" s="7" t="s">
        <v>48</v>
      </c>
      <c r="G13" s="7" t="s">
        <v>150</v>
      </c>
      <c r="H13" s="7" t="s">
        <v>547</v>
      </c>
      <c r="I13" s="7" t="s">
        <v>323</v>
      </c>
      <c r="J13" s="45">
        <v>0</v>
      </c>
      <c r="K13" s="45">
        <v>0</v>
      </c>
      <c r="L13" s="45">
        <v>0</v>
      </c>
      <c r="M13" s="45">
        <v>3411</v>
      </c>
      <c r="N13" s="45">
        <v>5.5</v>
      </c>
      <c r="O13" s="45">
        <v>55.5</v>
      </c>
      <c r="P13" s="45">
        <v>5.5</v>
      </c>
      <c r="Q13" s="45">
        <v>75</v>
      </c>
      <c r="S13" s="47">
        <f>INDEX(Direct_Cost_Splits_Network,MATCH($H13,RIN_Asset_Cat_Network,0),MATCH($S$4,Direct_Cost_Type,0))*J13*HLOOKUP(S$5,Escalators!$I$25:$U$30,3,FALSE)</f>
        <v>0</v>
      </c>
      <c r="T13" s="47">
        <f>INDEX(Direct_Cost_Splits_Network,MATCH($H13,RIN_Asset_Cat_Network,0),MATCH($S$4,Direct_Cost_Type,0))*K13*HLOOKUP(T$5,Escalators!$I$25:$U$30,3,FALSE)</f>
        <v>0</v>
      </c>
      <c r="U13" s="47">
        <f>INDEX(Direct_Cost_Splits_Network,MATCH($H13,RIN_Asset_Cat_Network,0),MATCH($S$4,Direct_Cost_Type,0))*L13*HLOOKUP(U$5,Escalators!$I$25:$U$30,3,FALSE)</f>
        <v>0</v>
      </c>
      <c r="V13" s="47">
        <f>INDEX(Direct_Cost_Splits_Network,MATCH($H13,RIN_Asset_Cat_Network,0),MATCH($S$4,Direct_Cost_Type,0))*M13*HLOOKUP(V$5,Escalators!$I$25:$U$30,3,FALSE)</f>
        <v>669.48689971334954</v>
      </c>
      <c r="W13" s="47">
        <f>INDEX(Direct_Cost_Splits_Network,MATCH($H13,RIN_Asset_Cat_Network,0),MATCH($S$4,Direct_Cost_Type,0))*N13*HLOOKUP(W$5,Escalators!$I$25:$U$30,3,FALSE)</f>
        <v>1.0905768664950357</v>
      </c>
      <c r="X13" s="47">
        <f>INDEX(Direct_Cost_Splits_Network,MATCH($H13,RIN_Asset_Cat_Network,0),MATCH($S$4,Direct_Cost_Type,0))*O13*HLOOKUP(X$5,Escalators!$I$25:$U$30,3,FALSE)</f>
        <v>11.123367623227429</v>
      </c>
      <c r="Y13" s="47">
        <f>INDEX(Direct_Cost_Splits_Network,MATCH($H13,RIN_Asset_Cat_Network,0),MATCH($S$4,Direct_Cost_Type,0))*P13*HLOOKUP(Y$5,Escalators!$I$25:$U$30,3,FALSE)</f>
        <v>1.1127383912245974</v>
      </c>
      <c r="Z13" s="47">
        <f>INDEX(Direct_Cost_Splits_Network,MATCH($H13,RIN_Asset_Cat_Network,0),MATCH($S$4,Direct_Cost_Type,0))*Q13*HLOOKUP(Z$5,Escalators!$I$25:$U$30,3,FALSE)</f>
        <v>15.307233941827826</v>
      </c>
      <c r="AB13" s="47">
        <f t="shared" si="9"/>
        <v>0</v>
      </c>
      <c r="AC13" s="47">
        <f t="shared" si="9"/>
        <v>0</v>
      </c>
      <c r="AD13" s="47">
        <f t="shared" si="9"/>
        <v>0</v>
      </c>
      <c r="AE13" s="47">
        <f t="shared" si="9"/>
        <v>2762.9100000000003</v>
      </c>
      <c r="AF13" s="47">
        <f t="shared" si="9"/>
        <v>4.4550000000000001</v>
      </c>
      <c r="AG13" s="47">
        <f t="shared" si="9"/>
        <v>44.955000000000005</v>
      </c>
      <c r="AH13" s="47">
        <f t="shared" si="9"/>
        <v>4.4550000000000001</v>
      </c>
      <c r="AI13" s="47">
        <f t="shared" si="9"/>
        <v>60.750000000000007</v>
      </c>
      <c r="AK13" s="47">
        <f>INDEX(Direct_Cost_Splits_Network,MATCH($H13,RIN_Asset_Cat_Network,0),MATCH($AK$4,Direct_Cost_Type,0))*J13*HLOOKUP(AK$5,Escalators!$I$25:$U$30,6,FALSE)</f>
        <v>0</v>
      </c>
      <c r="AL13" s="47">
        <f>INDEX(Direct_Cost_Splits_Network,MATCH($H13,RIN_Asset_Cat_Network,0),MATCH($AK$4,Direct_Cost_Type,0))*K13*HLOOKUP(AL$5,Escalators!$I$25:$U$30,6,FALSE)</f>
        <v>0</v>
      </c>
      <c r="AM13" s="47">
        <f>INDEX(Direct_Cost_Splits_Network,MATCH($H13,RIN_Asset_Cat_Network,0),MATCH($AK$4,Direct_Cost_Type,0))*L13*HLOOKUP(AM$5,Escalators!$I$25:$U$30,6,FALSE)</f>
        <v>0</v>
      </c>
      <c r="AN13" s="47">
        <f>INDEX(Direct_Cost_Splits_Network,MATCH($H13,RIN_Asset_Cat_Network,0),MATCH($AK$4,Direct_Cost_Type,0))*M13*HLOOKUP(AN$5,Escalators!$I$25:$U$30,6,FALSE)</f>
        <v>0</v>
      </c>
      <c r="AO13" s="47">
        <f>INDEX(Direct_Cost_Splits_Network,MATCH($H13,RIN_Asset_Cat_Network,0),MATCH($AK$4,Direct_Cost_Type,0))*N13*HLOOKUP(AO$5,Escalators!$I$25:$U$30,6,FALSE)</f>
        <v>0</v>
      </c>
      <c r="AP13" s="47">
        <f>INDEX(Direct_Cost_Splits_Network,MATCH($H13,RIN_Asset_Cat_Network,0),MATCH($AK$4,Direct_Cost_Type,0))*O13*HLOOKUP(AP$5,Escalators!$I$25:$U$30,6,FALSE)</f>
        <v>0</v>
      </c>
      <c r="AQ13" s="47">
        <f>INDEX(Direct_Cost_Splits_Network,MATCH($H13,RIN_Asset_Cat_Network,0),MATCH($AK$4,Direct_Cost_Type,0))*P13*HLOOKUP(AQ$5,Escalators!$I$25:$U$30,6,FALSE)</f>
        <v>0</v>
      </c>
      <c r="AR13" s="47">
        <f>INDEX(Direct_Cost_Splits_Network,MATCH($H13,RIN_Asset_Cat_Network,0),MATCH($AK$4,Direct_Cost_Type,0))*Q13*HLOOKUP(AR$5,Escalators!$I$25:$U$30,6,FALSE)</f>
        <v>0</v>
      </c>
      <c r="AT13" s="47">
        <f t="shared" si="10"/>
        <v>0</v>
      </c>
      <c r="AU13" s="47">
        <f t="shared" si="10"/>
        <v>0</v>
      </c>
      <c r="AV13" s="47">
        <f t="shared" si="10"/>
        <v>0</v>
      </c>
      <c r="AW13" s="47">
        <f t="shared" si="10"/>
        <v>0</v>
      </c>
      <c r="AX13" s="47">
        <f t="shared" si="10"/>
        <v>0</v>
      </c>
      <c r="AY13" s="47">
        <f t="shared" si="10"/>
        <v>0</v>
      </c>
      <c r="AZ13" s="47">
        <f t="shared" si="10"/>
        <v>0</v>
      </c>
      <c r="BA13" s="47">
        <f t="shared" si="10"/>
        <v>0</v>
      </c>
      <c r="BC13" s="373">
        <f t="shared" si="11"/>
        <v>0</v>
      </c>
      <c r="BD13" s="373">
        <f t="shared" si="12"/>
        <v>0</v>
      </c>
      <c r="BE13" s="373">
        <f t="shared" si="13"/>
        <v>0</v>
      </c>
      <c r="BF13" s="47">
        <f t="shared" si="14"/>
        <v>3432.3968997133497</v>
      </c>
      <c r="BG13" s="47">
        <f t="shared" si="15"/>
        <v>5.5455768664950362</v>
      </c>
      <c r="BH13" s="47">
        <f t="shared" si="16"/>
        <v>56.078367623227436</v>
      </c>
      <c r="BI13" s="47">
        <f t="shared" si="17"/>
        <v>5.5677383912245979</v>
      </c>
      <c r="BJ13" s="47">
        <f t="shared" si="18"/>
        <v>76.057233941827832</v>
      </c>
      <c r="BL13" s="375">
        <f>BC13*(1+AusNet_Overheads!H$20)*RFM_PTRM!L$3</f>
        <v>0</v>
      </c>
      <c r="BM13" s="375">
        <f>BD13*(1+AusNet_Overheads!I$20)*RFM_PTRM!M$3</f>
        <v>0</v>
      </c>
      <c r="BN13" s="375">
        <f>BE13*(1+AusNet_Overheads!J$20)*RFM_PTRM!N$3</f>
        <v>0</v>
      </c>
      <c r="BO13" s="641" t="str">
        <f t="shared" si="19"/>
        <v>SCADA/Network control</v>
      </c>
    </row>
    <row r="14" spans="2:67" x14ac:dyDescent="0.3">
      <c r="B14" s="7"/>
      <c r="C14" s="7" t="s">
        <v>525</v>
      </c>
      <c r="D14" s="7" t="s">
        <v>577</v>
      </c>
      <c r="E14" s="7" t="s">
        <v>520</v>
      </c>
      <c r="F14" s="7" t="s">
        <v>49</v>
      </c>
      <c r="G14" s="7" t="s">
        <v>34</v>
      </c>
      <c r="H14" s="7" t="s">
        <v>166</v>
      </c>
      <c r="I14" s="7" t="s">
        <v>333</v>
      </c>
      <c r="J14" s="45">
        <v>12426.479050820486</v>
      </c>
      <c r="K14" s="45">
        <v>12842.861846416801</v>
      </c>
      <c r="L14" s="45">
        <v>3201.25861278614</v>
      </c>
      <c r="M14" s="45">
        <v>6500</v>
      </c>
      <c r="N14" s="45">
        <v>0</v>
      </c>
      <c r="O14" s="45">
        <v>0</v>
      </c>
      <c r="P14" s="45">
        <v>0</v>
      </c>
      <c r="Q14" s="45">
        <v>0</v>
      </c>
      <c r="S14" s="47">
        <f>INDEX(Direct_Cost_Splits_Non_Ntwk,MATCH($H14,RIN_Asset_Cat_Non_Ntwk,0),MATCH($S$4,Direct_Cost_Type,0))*J14*HLOOKUP(S$5,Escalators!$I$25:$U$30,3,FALSE)</f>
        <v>2264.4254561819548</v>
      </c>
      <c r="T14" s="47">
        <f>INDEX(Direct_Cost_Splits_Non_Ntwk,MATCH($H14,RIN_Asset_Cat_Non_Ntwk,0),MATCH($S$4,Direct_Cost_Type,0))*K14*HLOOKUP(T$5,Escalators!$I$25:$U$30,3,FALSE)</f>
        <v>2362.6574838565998</v>
      </c>
      <c r="U14" s="47">
        <f>INDEX(Direct_Cost_Splits_Non_Ntwk,MATCH($H14,RIN_Asset_Cat_Non_Ntwk,0),MATCH($S$4,Direct_Cost_Type,0))*L14*HLOOKUP(U$5,Escalators!$I$25:$U$30,3,FALSE)</f>
        <v>591.56168786193575</v>
      </c>
      <c r="V14" s="47">
        <f>INDEX(Direct_Cost_Splits_Non_Ntwk,MATCH($H14,RIN_Asset_Cat_Non_Ntwk,0),MATCH($S$4,Direct_Cost_Type,0))*M14*HLOOKUP(V$5,Escalators!$I$25:$U$30,3,FALSE)</f>
        <v>1212.6295005914812</v>
      </c>
      <c r="W14" s="47">
        <f>INDEX(Direct_Cost_Splits_Non_Ntwk,MATCH($H14,RIN_Asset_Cat_Non_Ntwk,0),MATCH($S$4,Direct_Cost_Type,0))*N14*HLOOKUP(W$5,Escalators!$I$25:$U$30,3,FALSE)</f>
        <v>0</v>
      </c>
      <c r="X14" s="47">
        <f>INDEX(Direct_Cost_Splits_Non_Ntwk,MATCH($H14,RIN_Asset_Cat_Non_Ntwk,0),MATCH($S$4,Direct_Cost_Type,0))*O14*HLOOKUP(X$5,Escalators!$I$25:$U$30,3,FALSE)</f>
        <v>0</v>
      </c>
      <c r="Y14" s="47">
        <f>INDEX(Direct_Cost_Splits_Non_Ntwk,MATCH($H14,RIN_Asset_Cat_Non_Ntwk,0),MATCH($S$4,Direct_Cost_Type,0))*P14*HLOOKUP(Y$5,Escalators!$I$25:$U$30,3,FALSE)</f>
        <v>0</v>
      </c>
      <c r="Z14" s="47">
        <f>INDEX(Direct_Cost_Splits_Non_Ntwk,MATCH($H14,RIN_Asset_Cat_Non_Ntwk,0),MATCH($S$4,Direct_Cost_Type,0))*Q14*HLOOKUP(Z$5,Escalators!$I$25:$U$30,3,FALSE)</f>
        <v>0</v>
      </c>
      <c r="AB14" s="47">
        <f t="shared" ref="AB14:AI14" si="20">INDEX(Direct_Cost_Splits_Non_Ntwk,MATCH($H14,RIN_Asset_Cat_Non_Ntwk,0),MATCH($AB$4,Direct_Cost_Type,0))*J14</f>
        <v>4280.1134907634578</v>
      </c>
      <c r="AC14" s="47">
        <f t="shared" si="20"/>
        <v>4423.5302714513</v>
      </c>
      <c r="AD14" s="47">
        <f t="shared" si="20"/>
        <v>1102.6252987650578</v>
      </c>
      <c r="AE14" s="47">
        <f t="shared" si="20"/>
        <v>2238.8270704987467</v>
      </c>
      <c r="AF14" s="47">
        <f t="shared" si="20"/>
        <v>0</v>
      </c>
      <c r="AG14" s="47">
        <f t="shared" si="20"/>
        <v>0</v>
      </c>
      <c r="AH14" s="47">
        <f t="shared" si="20"/>
        <v>0</v>
      </c>
      <c r="AI14" s="47">
        <f t="shared" si="20"/>
        <v>0</v>
      </c>
      <c r="AK14" s="47">
        <f>INDEX(Direct_Cost_Splits_Non_Ntwk,MATCH($H14,RIN_Asset_Cat_Non_Ntwk,0),MATCH($AK$4,Direct_Cost_Type,0))*J14*HLOOKUP(AK$5,Escalators!$I$25:$U$30,6,FALSE)</f>
        <v>5955.4610530545879</v>
      </c>
      <c r="AL14" s="47">
        <f>INDEX(Direct_Cost_Splits_Non_Ntwk,MATCH($H14,RIN_Asset_Cat_Non_Ntwk,0),MATCH($AK$4,Direct_Cost_Type,0))*K14*HLOOKUP(AL$5,Escalators!$I$25:$U$30,6,FALSE)</f>
        <v>6213.8122446921006</v>
      </c>
      <c r="AM14" s="47">
        <f>INDEX(Direct_Cost_Splits_Non_Ntwk,MATCH($H14,RIN_Asset_Cat_Non_Ntwk,0),MATCH($AK$4,Direct_Cost_Type,0))*L14*HLOOKUP(AM$5,Escalators!$I$25:$U$30,6,FALSE)</f>
        <v>1555.8130133730067</v>
      </c>
      <c r="AN14" s="47">
        <f>INDEX(Direct_Cost_Splits_Non_Ntwk,MATCH($H14,RIN_Asset_Cat_Non_Ntwk,0),MATCH($AK$4,Direct_Cost_Type,0))*M14*HLOOKUP(AN$5,Escalators!$I$25:$U$30,6,FALSE)</f>
        <v>3189.2274231602287</v>
      </c>
      <c r="AO14" s="47">
        <f>INDEX(Direct_Cost_Splits_Non_Ntwk,MATCH($H14,RIN_Asset_Cat_Non_Ntwk,0),MATCH($AK$4,Direct_Cost_Type,0))*N14*HLOOKUP(AO$5,Escalators!$I$25:$U$30,6,FALSE)</f>
        <v>0</v>
      </c>
      <c r="AP14" s="47">
        <f>INDEX(Direct_Cost_Splits_Non_Ntwk,MATCH($H14,RIN_Asset_Cat_Non_Ntwk,0),MATCH($AK$4,Direct_Cost_Type,0))*O14*HLOOKUP(AP$5,Escalators!$I$25:$U$30,6,FALSE)</f>
        <v>0</v>
      </c>
      <c r="AQ14" s="47">
        <f>INDEX(Direct_Cost_Splits_Non_Ntwk,MATCH($H14,RIN_Asset_Cat_Non_Ntwk,0),MATCH($AK$4,Direct_Cost_Type,0))*P14*HLOOKUP(AQ$5,Escalators!$I$25:$U$30,6,FALSE)</f>
        <v>0</v>
      </c>
      <c r="AR14" s="47">
        <f>INDEX(Direct_Cost_Splits_Non_Ntwk,MATCH($H14,RIN_Asset_Cat_Non_Ntwk,0),MATCH($AK$4,Direct_Cost_Type,0))*Q14*HLOOKUP(AR$5,Escalators!$I$25:$U$30,6,FALSE)</f>
        <v>0</v>
      </c>
      <c r="AT14" s="47">
        <f t="shared" ref="AT14:BA14" si="21">INDEX(Direct_Cost_Splits_Non_Ntwk,MATCH($H14,RIN_Asset_Cat_Non_Ntwk,0),MATCH($AT$4,Direct_Cost_Type,0))*J14</f>
        <v>0</v>
      </c>
      <c r="AU14" s="47">
        <f t="shared" si="21"/>
        <v>0</v>
      </c>
      <c r="AV14" s="47">
        <f t="shared" si="21"/>
        <v>0</v>
      </c>
      <c r="AW14" s="47">
        <f t="shared" si="21"/>
        <v>0</v>
      </c>
      <c r="AX14" s="47">
        <f t="shared" si="21"/>
        <v>0</v>
      </c>
      <c r="AY14" s="47">
        <f t="shared" si="21"/>
        <v>0</v>
      </c>
      <c r="AZ14" s="47">
        <f t="shared" si="21"/>
        <v>0</v>
      </c>
      <c r="BA14" s="47">
        <f t="shared" si="21"/>
        <v>0</v>
      </c>
      <c r="BC14" s="373">
        <f t="shared" si="11"/>
        <v>12500</v>
      </c>
      <c r="BD14" s="373">
        <f t="shared" si="12"/>
        <v>13000</v>
      </c>
      <c r="BE14" s="373">
        <f t="shared" si="13"/>
        <v>3250</v>
      </c>
      <c r="BF14" s="47">
        <f t="shared" si="14"/>
        <v>6640.6839942504566</v>
      </c>
      <c r="BG14" s="47">
        <f t="shared" si="15"/>
        <v>0</v>
      </c>
      <c r="BH14" s="47">
        <f t="shared" si="16"/>
        <v>0</v>
      </c>
      <c r="BI14" s="47">
        <f t="shared" si="17"/>
        <v>0</v>
      </c>
      <c r="BJ14" s="47">
        <f t="shared" si="18"/>
        <v>0</v>
      </c>
      <c r="BL14" s="375">
        <f>BC14*(1+AusNet_Overheads!H$22)*RFM_PTRM!L$3</f>
        <v>13383.272427123755</v>
      </c>
      <c r="BM14" s="375">
        <f>BD14*(1+AusNet_Overheads!I$22)*RFM_PTRM!M$3</f>
        <v>14082.847852648471</v>
      </c>
      <c r="BN14" s="375">
        <f>BE14*(1+AusNet_Overheads!J$22)*RFM_PTRM!N$3</f>
        <v>3642.227998289793</v>
      </c>
      <c r="BO14" s="641" t="str">
        <f t="shared" si="19"/>
        <v>Non-network - Metering related IT</v>
      </c>
    </row>
    <row r="15" spans="2:67" x14ac:dyDescent="0.3">
      <c r="B15" s="7"/>
      <c r="C15" s="7"/>
      <c r="D15" s="7"/>
      <c r="E15" s="7"/>
      <c r="F15" s="7"/>
      <c r="G15" s="7"/>
      <c r="H15" s="7"/>
      <c r="I15" s="7"/>
      <c r="J15" s="45"/>
      <c r="K15" s="45"/>
      <c r="L15" s="45"/>
      <c r="M15" s="45"/>
      <c r="N15" s="45"/>
      <c r="O15" s="45"/>
      <c r="P15" s="45"/>
      <c r="Q15" s="45"/>
      <c r="S15" s="47"/>
      <c r="T15" s="47"/>
      <c r="U15" s="47"/>
      <c r="V15" s="47"/>
      <c r="W15" s="47"/>
      <c r="X15" s="47"/>
      <c r="Y15" s="47"/>
      <c r="Z15" s="47"/>
      <c r="AB15" s="47"/>
      <c r="AC15" s="47"/>
      <c r="AD15" s="47"/>
      <c r="AE15" s="47"/>
      <c r="AF15" s="47"/>
      <c r="AG15" s="47"/>
      <c r="AH15" s="47"/>
      <c r="AI15" s="47"/>
      <c r="AK15" s="47"/>
      <c r="AL15" s="47"/>
      <c r="AM15" s="47"/>
      <c r="AN15" s="47"/>
      <c r="AO15" s="47"/>
      <c r="AP15" s="47"/>
      <c r="AQ15" s="47"/>
      <c r="AR15" s="47"/>
      <c r="AT15" s="83"/>
      <c r="AU15" s="83"/>
      <c r="AV15" s="83"/>
      <c r="AW15" s="83"/>
      <c r="AX15" s="83"/>
      <c r="AY15" s="83"/>
      <c r="AZ15" s="83"/>
      <c r="BA15" s="83"/>
      <c r="BC15" s="373">
        <f t="shared" si="11"/>
        <v>0</v>
      </c>
      <c r="BD15" s="373">
        <f t="shared" si="12"/>
        <v>0</v>
      </c>
      <c r="BE15" s="373">
        <f t="shared" si="13"/>
        <v>0</v>
      </c>
      <c r="BF15" s="47">
        <f t="shared" si="14"/>
        <v>0</v>
      </c>
      <c r="BG15" s="47">
        <f t="shared" si="15"/>
        <v>0</v>
      </c>
      <c r="BH15" s="47">
        <f t="shared" si="16"/>
        <v>0</v>
      </c>
      <c r="BI15" s="47">
        <f t="shared" si="17"/>
        <v>0</v>
      </c>
      <c r="BJ15" s="47">
        <f t="shared" si="18"/>
        <v>0</v>
      </c>
      <c r="BL15" s="375"/>
      <c r="BM15" s="375"/>
      <c r="BN15" s="375"/>
      <c r="BO15" s="57"/>
    </row>
    <row r="16" spans="2:67" x14ac:dyDescent="0.3">
      <c r="B16" s="7"/>
      <c r="C16" s="7"/>
      <c r="D16" s="7"/>
      <c r="E16" s="7"/>
      <c r="F16" s="7"/>
      <c r="G16" s="7"/>
      <c r="H16" s="7"/>
      <c r="I16" s="7"/>
      <c r="J16" s="45"/>
      <c r="K16" s="45"/>
      <c r="L16" s="45"/>
      <c r="M16" s="45"/>
      <c r="N16" s="45"/>
      <c r="O16" s="45"/>
      <c r="P16" s="45"/>
      <c r="Q16" s="45"/>
      <c r="S16" s="47"/>
      <c r="T16" s="47"/>
      <c r="U16" s="47"/>
      <c r="V16" s="47"/>
      <c r="W16" s="47"/>
      <c r="X16" s="47"/>
      <c r="Y16" s="47"/>
      <c r="Z16" s="47"/>
      <c r="AB16" s="47"/>
      <c r="AC16" s="47"/>
      <c r="AD16" s="47"/>
      <c r="AE16" s="47"/>
      <c r="AF16" s="47"/>
      <c r="AG16" s="47"/>
      <c r="AH16" s="47"/>
      <c r="AI16" s="47"/>
      <c r="AK16" s="47"/>
      <c r="AL16" s="47"/>
      <c r="AM16" s="47"/>
      <c r="AN16" s="47"/>
      <c r="AO16" s="47"/>
      <c r="AP16" s="47"/>
      <c r="AQ16" s="47"/>
      <c r="AR16" s="47"/>
      <c r="AT16" s="83"/>
      <c r="AU16" s="83"/>
      <c r="AV16" s="83"/>
      <c r="AW16" s="83"/>
      <c r="AX16" s="83"/>
      <c r="AY16" s="83"/>
      <c r="AZ16" s="83"/>
      <c r="BA16" s="83"/>
      <c r="BC16" s="373">
        <f t="shared" si="11"/>
        <v>0</v>
      </c>
      <c r="BD16" s="373">
        <f t="shared" si="12"/>
        <v>0</v>
      </c>
      <c r="BE16" s="373">
        <f t="shared" si="13"/>
        <v>0</v>
      </c>
      <c r="BF16" s="47">
        <f t="shared" si="14"/>
        <v>0</v>
      </c>
      <c r="BG16" s="47">
        <f t="shared" si="15"/>
        <v>0</v>
      </c>
      <c r="BH16" s="47">
        <f t="shared" si="16"/>
        <v>0</v>
      </c>
      <c r="BI16" s="47">
        <f t="shared" si="17"/>
        <v>0</v>
      </c>
      <c r="BJ16" s="47">
        <f t="shared" si="18"/>
        <v>0</v>
      </c>
      <c r="BL16" s="375"/>
      <c r="BM16" s="375"/>
      <c r="BN16" s="375"/>
      <c r="BO16" s="57"/>
    </row>
    <row r="17" spans="2:67" x14ac:dyDescent="0.3">
      <c r="B17" s="7" t="s">
        <v>685</v>
      </c>
      <c r="C17" s="7" t="s">
        <v>525</v>
      </c>
      <c r="D17" s="7" t="s">
        <v>517</v>
      </c>
      <c r="E17" s="7" t="s">
        <v>520</v>
      </c>
      <c r="F17" s="7" t="s">
        <v>49</v>
      </c>
      <c r="G17" s="7" t="s">
        <v>34</v>
      </c>
      <c r="H17" s="7" t="s">
        <v>166</v>
      </c>
      <c r="I17" s="7" t="s">
        <v>332</v>
      </c>
      <c r="J17" s="45">
        <v>0</v>
      </c>
      <c r="K17" s="45">
        <v>0</v>
      </c>
      <c r="L17" s="45">
        <v>0</v>
      </c>
      <c r="M17" s="45">
        <v>1000</v>
      </c>
      <c r="N17" s="45">
        <v>1500</v>
      </c>
      <c r="O17" s="45">
        <v>0</v>
      </c>
      <c r="P17" s="45">
        <v>0</v>
      </c>
      <c r="Q17" s="45">
        <v>0</v>
      </c>
      <c r="S17" s="47">
        <f>INDEX(Direct_Cost_Splits_Non_Ntwk,MATCH($H17,RIN_Asset_Cat_Non_Ntwk,0),MATCH($S$4,Direct_Cost_Type,0))*J17*HLOOKUP(S$5,Escalators!$I$25:$U$30,3,FALSE)</f>
        <v>0</v>
      </c>
      <c r="T17" s="47">
        <f>INDEX(Direct_Cost_Splits_Non_Ntwk,MATCH($H17,RIN_Asset_Cat_Non_Ntwk,0),MATCH($S$4,Direct_Cost_Type,0))*K17*HLOOKUP(T$5,Escalators!$I$25:$U$30,3,FALSE)</f>
        <v>0</v>
      </c>
      <c r="U17" s="47">
        <f>INDEX(Direct_Cost_Splits_Non_Ntwk,MATCH($H17,RIN_Asset_Cat_Non_Ntwk,0),MATCH($S$4,Direct_Cost_Type,0))*L17*HLOOKUP(U$5,Escalators!$I$25:$U$30,3,FALSE)</f>
        <v>0</v>
      </c>
      <c r="V17" s="47">
        <f>INDEX(Direct_Cost_Splits_Non_Ntwk,MATCH($H17,RIN_Asset_Cat_Non_Ntwk,0),MATCH($S$4,Direct_Cost_Type,0))*M17*HLOOKUP(V$5,Escalators!$I$25:$U$30,3,FALSE)</f>
        <v>186.5583847063817</v>
      </c>
      <c r="W17" s="47">
        <f>INDEX(Direct_Cost_Splits_Non_Ntwk,MATCH($H17,RIN_Asset_Cat_Non_Ntwk,0),MATCH($S$4,Direct_Cost_Type,0))*N17*HLOOKUP(W$5,Escalators!$I$25:$U$30,3,FALSE)</f>
        <v>282.7087560043787</v>
      </c>
      <c r="X17" s="47">
        <f>INDEX(Direct_Cost_Splits_Non_Ntwk,MATCH($H17,RIN_Asset_Cat_Non_Ntwk,0),MATCH($S$4,Direct_Cost_Type,0))*O17*HLOOKUP(X$5,Escalators!$I$25:$U$30,3,FALSE)</f>
        <v>0</v>
      </c>
      <c r="Y17" s="47">
        <f>INDEX(Direct_Cost_Splits_Non_Ntwk,MATCH($H17,RIN_Asset_Cat_Non_Ntwk,0),MATCH($S$4,Direct_Cost_Type,0))*P17*HLOOKUP(Y$5,Escalators!$I$25:$U$30,3,FALSE)</f>
        <v>0</v>
      </c>
      <c r="Z17" s="47">
        <f>INDEX(Direct_Cost_Splits_Non_Ntwk,MATCH($H17,RIN_Asset_Cat_Non_Ntwk,0),MATCH($S$4,Direct_Cost_Type,0))*Q17*HLOOKUP(Z$5,Escalators!$I$25:$U$30,3,FALSE)</f>
        <v>0</v>
      </c>
      <c r="AB17" s="47">
        <f t="shared" ref="AB17:AI18" si="22">INDEX(Direct_Cost_Splits_Non_Ntwk,MATCH($H17,RIN_Asset_Cat_Non_Ntwk,0),MATCH($AB$4,Direct_Cost_Type,0))*J17</f>
        <v>0</v>
      </c>
      <c r="AC17" s="47">
        <f t="shared" si="22"/>
        <v>0</v>
      </c>
      <c r="AD17" s="47">
        <f t="shared" si="22"/>
        <v>0</v>
      </c>
      <c r="AE17" s="47">
        <f t="shared" si="22"/>
        <v>344.43493392288411</v>
      </c>
      <c r="AF17" s="47">
        <f t="shared" si="22"/>
        <v>516.6524008843262</v>
      </c>
      <c r="AG17" s="47">
        <f t="shared" si="22"/>
        <v>0</v>
      </c>
      <c r="AH17" s="47">
        <f t="shared" si="22"/>
        <v>0</v>
      </c>
      <c r="AI17" s="47">
        <f t="shared" si="22"/>
        <v>0</v>
      </c>
      <c r="AK17" s="47">
        <f>INDEX(Direct_Cost_Splits_Non_Ntwk,MATCH($H17,RIN_Asset_Cat_Non_Ntwk,0),MATCH($AK$4,Direct_Cost_Type,0))*J17*HLOOKUP(AK$5,Escalators!$I$25:$U$30,6,FALSE)</f>
        <v>0</v>
      </c>
      <c r="AL17" s="47">
        <f>INDEX(Direct_Cost_Splits_Non_Ntwk,MATCH($H17,RIN_Asset_Cat_Non_Ntwk,0),MATCH($AK$4,Direct_Cost_Type,0))*K17*HLOOKUP(AL$5,Escalators!$I$25:$U$30,6,FALSE)</f>
        <v>0</v>
      </c>
      <c r="AM17" s="47">
        <f>INDEX(Direct_Cost_Splits_Non_Ntwk,MATCH($H17,RIN_Asset_Cat_Non_Ntwk,0),MATCH($AK$4,Direct_Cost_Type,0))*L17*HLOOKUP(AM$5,Escalators!$I$25:$U$30,6,FALSE)</f>
        <v>0</v>
      </c>
      <c r="AN17" s="47">
        <f>INDEX(Direct_Cost_Splits_Non_Ntwk,MATCH($H17,RIN_Asset_Cat_Non_Ntwk,0),MATCH($AK$4,Direct_Cost_Type,0))*M17*HLOOKUP(AN$5,Escalators!$I$25:$U$30,6,FALSE)</f>
        <v>490.65037279388127</v>
      </c>
      <c r="AO17" s="47">
        <f>INDEX(Direct_Cost_Splits_Non_Ntwk,MATCH($H17,RIN_Asset_Cat_Non_Ntwk,0),MATCH($AK$4,Direct_Cost_Type,0))*N17*HLOOKUP(AO$5,Escalators!$I$25:$U$30,6,FALSE)</f>
        <v>743.52678784154295</v>
      </c>
      <c r="AP17" s="47">
        <f>INDEX(Direct_Cost_Splits_Non_Ntwk,MATCH($H17,RIN_Asset_Cat_Non_Ntwk,0),MATCH($AK$4,Direct_Cost_Type,0))*O17*HLOOKUP(AP$5,Escalators!$I$25:$U$30,6,FALSE)</f>
        <v>0</v>
      </c>
      <c r="AQ17" s="47">
        <f>INDEX(Direct_Cost_Splits_Non_Ntwk,MATCH($H17,RIN_Asset_Cat_Non_Ntwk,0),MATCH($AK$4,Direct_Cost_Type,0))*P17*HLOOKUP(AQ$5,Escalators!$I$25:$U$30,6,FALSE)</f>
        <v>0</v>
      </c>
      <c r="AR17" s="47">
        <f>INDEX(Direct_Cost_Splits_Non_Ntwk,MATCH($H17,RIN_Asset_Cat_Non_Ntwk,0),MATCH($AK$4,Direct_Cost_Type,0))*Q17*HLOOKUP(AR$5,Escalators!$I$25:$U$30,6,FALSE)</f>
        <v>0</v>
      </c>
      <c r="AT17" s="47">
        <f t="shared" ref="AT17:BA18" si="23">INDEX(Direct_Cost_Splits_Non_Ntwk,MATCH($H17,RIN_Asset_Cat_Non_Ntwk,0),MATCH($AT$4,Direct_Cost_Type,0))*J17</f>
        <v>0</v>
      </c>
      <c r="AU17" s="47">
        <f t="shared" si="23"/>
        <v>0</v>
      </c>
      <c r="AV17" s="47">
        <f t="shared" si="23"/>
        <v>0</v>
      </c>
      <c r="AW17" s="47">
        <f t="shared" si="23"/>
        <v>0</v>
      </c>
      <c r="AX17" s="47">
        <f t="shared" si="23"/>
        <v>0</v>
      </c>
      <c r="AY17" s="47">
        <f t="shared" si="23"/>
        <v>0</v>
      </c>
      <c r="AZ17" s="47">
        <f t="shared" si="23"/>
        <v>0</v>
      </c>
      <c r="BA17" s="47">
        <f t="shared" si="23"/>
        <v>0</v>
      </c>
      <c r="BC17" s="373">
        <f t="shared" si="11"/>
        <v>0</v>
      </c>
      <c r="BD17" s="373">
        <f t="shared" si="12"/>
        <v>0</v>
      </c>
      <c r="BE17" s="373">
        <f t="shared" si="13"/>
        <v>0</v>
      </c>
      <c r="BF17" s="47">
        <f t="shared" si="14"/>
        <v>1021.6436914231471</v>
      </c>
      <c r="BG17" s="47">
        <f t="shared" si="15"/>
        <v>1542.8879447302479</v>
      </c>
      <c r="BH17" s="47">
        <f t="shared" si="16"/>
        <v>0</v>
      </c>
      <c r="BI17" s="47">
        <f t="shared" si="17"/>
        <v>0</v>
      </c>
      <c r="BJ17" s="47">
        <f t="shared" si="18"/>
        <v>0</v>
      </c>
      <c r="BL17" s="375">
        <f>BC17*(1+AusNet_Overheads!H$22)*RFM_PTRM!L$3</f>
        <v>0</v>
      </c>
      <c r="BM17" s="375">
        <f>BD17*(1+AusNet_Overheads!I$22)*RFM_PTRM!M$3</f>
        <v>0</v>
      </c>
      <c r="BN17" s="375">
        <f>BE17*(1+AusNet_Overheads!J$22)*RFM_PTRM!N$3</f>
        <v>0</v>
      </c>
      <c r="BO17" s="641" t="str">
        <f t="shared" ref="BO17:BO18" si="24">E17</f>
        <v>Non-network - Metering related IT</v>
      </c>
    </row>
    <row r="18" spans="2:67" x14ac:dyDescent="0.3">
      <c r="B18" s="7" t="s">
        <v>685</v>
      </c>
      <c r="C18" s="7" t="s">
        <v>525</v>
      </c>
      <c r="D18" s="7" t="s">
        <v>518</v>
      </c>
      <c r="E18" s="7" t="s">
        <v>520</v>
      </c>
      <c r="F18" s="7" t="s">
        <v>49</v>
      </c>
      <c r="G18" s="7" t="s">
        <v>34</v>
      </c>
      <c r="H18" s="7" t="s">
        <v>166</v>
      </c>
      <c r="I18" s="7" t="s">
        <v>332</v>
      </c>
      <c r="J18" s="45">
        <v>0</v>
      </c>
      <c r="K18" s="45">
        <v>0</v>
      </c>
      <c r="L18" s="45">
        <v>0</v>
      </c>
      <c r="M18" s="45">
        <v>1080</v>
      </c>
      <c r="N18" s="45">
        <v>2200</v>
      </c>
      <c r="O18" s="45">
        <v>610</v>
      </c>
      <c r="P18" s="45">
        <v>0</v>
      </c>
      <c r="Q18" s="45">
        <v>610</v>
      </c>
      <c r="S18" s="47">
        <f>INDEX(Direct_Cost_Splits_Non_Ntwk,MATCH($H18,RIN_Asset_Cat_Non_Ntwk,0),MATCH($S$4,Direct_Cost_Type,0))*J18*HLOOKUP(S$5,Escalators!$I$25:$U$30,3,FALSE)</f>
        <v>0</v>
      </c>
      <c r="T18" s="47">
        <f>INDEX(Direct_Cost_Splits_Non_Ntwk,MATCH($H18,RIN_Asset_Cat_Non_Ntwk,0),MATCH($S$4,Direct_Cost_Type,0))*K18*HLOOKUP(T$5,Escalators!$I$25:$U$30,3,FALSE)</f>
        <v>0</v>
      </c>
      <c r="U18" s="47">
        <f>INDEX(Direct_Cost_Splits_Non_Ntwk,MATCH($H18,RIN_Asset_Cat_Non_Ntwk,0),MATCH($S$4,Direct_Cost_Type,0))*L18*HLOOKUP(U$5,Escalators!$I$25:$U$30,3,FALSE)</f>
        <v>0</v>
      </c>
      <c r="V18" s="47">
        <f>INDEX(Direct_Cost_Splits_Non_Ntwk,MATCH($H18,RIN_Asset_Cat_Non_Ntwk,0),MATCH($S$4,Direct_Cost_Type,0))*M18*HLOOKUP(V$5,Escalators!$I$25:$U$30,3,FALSE)</f>
        <v>201.48305548289227</v>
      </c>
      <c r="W18" s="47">
        <f>INDEX(Direct_Cost_Splits_Non_Ntwk,MATCH($H18,RIN_Asset_Cat_Non_Ntwk,0),MATCH($S$4,Direct_Cost_Type,0))*N18*HLOOKUP(W$5,Escalators!$I$25:$U$30,3,FALSE)</f>
        <v>414.6395088064221</v>
      </c>
      <c r="X18" s="47">
        <f>INDEX(Direct_Cost_Splits_Non_Ntwk,MATCH($H18,RIN_Asset_Cat_Non_Ntwk,0),MATCH($S$4,Direct_Cost_Type,0))*O18*HLOOKUP(X$5,Escalators!$I$25:$U$30,3,FALSE)</f>
        <v>116.20573221432183</v>
      </c>
      <c r="Y18" s="47">
        <f>INDEX(Direct_Cost_Splits_Non_Ntwk,MATCH($H18,RIN_Asset_Cat_Non_Ntwk,0),MATCH($S$4,Direct_Cost_Type,0))*P18*HLOOKUP(Y$5,Escalators!$I$25:$U$30,3,FALSE)</f>
        <v>0</v>
      </c>
      <c r="Z18" s="47">
        <f>INDEX(Direct_Cost_Splits_Non_Ntwk,MATCH($H18,RIN_Asset_Cat_Non_Ntwk,0),MATCH($S$4,Direct_Cost_Type,0))*Q18*HLOOKUP(Z$5,Escalators!$I$25:$U$30,3,FALSE)</f>
        <v>118.33676702880859</v>
      </c>
      <c r="AB18" s="47">
        <f t="shared" si="22"/>
        <v>0</v>
      </c>
      <c r="AC18" s="47">
        <f t="shared" si="22"/>
        <v>0</v>
      </c>
      <c r="AD18" s="47">
        <f t="shared" si="22"/>
        <v>0</v>
      </c>
      <c r="AE18" s="47">
        <f t="shared" si="22"/>
        <v>371.9897286367148</v>
      </c>
      <c r="AF18" s="47">
        <f t="shared" si="22"/>
        <v>757.75685463034506</v>
      </c>
      <c r="AG18" s="47">
        <f t="shared" si="22"/>
        <v>210.10530969295931</v>
      </c>
      <c r="AH18" s="47">
        <f t="shared" si="22"/>
        <v>0</v>
      </c>
      <c r="AI18" s="47">
        <f t="shared" si="22"/>
        <v>210.10530969295931</v>
      </c>
      <c r="AK18" s="47">
        <f>INDEX(Direct_Cost_Splits_Non_Ntwk,MATCH($H18,RIN_Asset_Cat_Non_Ntwk,0),MATCH($AK$4,Direct_Cost_Type,0))*J18*HLOOKUP(AK$5,Escalators!$I$25:$U$30,6,FALSE)</f>
        <v>0</v>
      </c>
      <c r="AL18" s="47">
        <f>INDEX(Direct_Cost_Splits_Non_Ntwk,MATCH($H18,RIN_Asset_Cat_Non_Ntwk,0),MATCH($AK$4,Direct_Cost_Type,0))*K18*HLOOKUP(AL$5,Escalators!$I$25:$U$30,6,FALSE)</f>
        <v>0</v>
      </c>
      <c r="AM18" s="47">
        <f>INDEX(Direct_Cost_Splits_Non_Ntwk,MATCH($H18,RIN_Asset_Cat_Non_Ntwk,0),MATCH($AK$4,Direct_Cost_Type,0))*L18*HLOOKUP(AM$5,Escalators!$I$25:$U$30,6,FALSE)</f>
        <v>0</v>
      </c>
      <c r="AN18" s="47">
        <f>INDEX(Direct_Cost_Splits_Non_Ntwk,MATCH($H18,RIN_Asset_Cat_Non_Ntwk,0),MATCH($AK$4,Direct_Cost_Type,0))*M18*HLOOKUP(AN$5,Escalators!$I$25:$U$30,6,FALSE)</f>
        <v>529.90240261739177</v>
      </c>
      <c r="AO18" s="47">
        <f>INDEX(Direct_Cost_Splits_Non_Ntwk,MATCH($H18,RIN_Asset_Cat_Non_Ntwk,0),MATCH($AK$4,Direct_Cost_Type,0))*N18*HLOOKUP(AO$5,Escalators!$I$25:$U$30,6,FALSE)</f>
        <v>1090.5059555009298</v>
      </c>
      <c r="AP18" s="47">
        <f>INDEX(Direct_Cost_Splits_Non_Ntwk,MATCH($H18,RIN_Asset_Cat_Non_Ntwk,0),MATCH($AK$4,Direct_Cost_Type,0))*O18*HLOOKUP(AP$5,Escalators!$I$25:$U$30,6,FALSE)</f>
        <v>305.62221002009221</v>
      </c>
      <c r="AQ18" s="47">
        <f>INDEX(Direct_Cost_Splits_Non_Ntwk,MATCH($H18,RIN_Asset_Cat_Non_Ntwk,0),MATCH($AK$4,Direct_Cost_Type,0))*P18*HLOOKUP(AQ$5,Escalators!$I$25:$U$30,6,FALSE)</f>
        <v>0</v>
      </c>
      <c r="AR18" s="47">
        <f>INDEX(Direct_Cost_Splits_Non_Ntwk,MATCH($H18,RIN_Asset_Cat_Non_Ntwk,0),MATCH($AK$4,Direct_Cost_Type,0))*Q18*HLOOKUP(AR$5,Escalators!$I$25:$U$30,6,FALSE)</f>
        <v>311.22685238344826</v>
      </c>
      <c r="AT18" s="47">
        <f t="shared" si="23"/>
        <v>0</v>
      </c>
      <c r="AU18" s="47">
        <f t="shared" si="23"/>
        <v>0</v>
      </c>
      <c r="AV18" s="47">
        <f t="shared" si="23"/>
        <v>0</v>
      </c>
      <c r="AW18" s="47">
        <f t="shared" si="23"/>
        <v>0</v>
      </c>
      <c r="AX18" s="47">
        <f t="shared" si="23"/>
        <v>0</v>
      </c>
      <c r="AY18" s="47">
        <f t="shared" si="23"/>
        <v>0</v>
      </c>
      <c r="AZ18" s="47">
        <f t="shared" si="23"/>
        <v>0</v>
      </c>
      <c r="BA18" s="47">
        <f t="shared" si="23"/>
        <v>0</v>
      </c>
      <c r="BC18" s="373">
        <f t="shared" si="11"/>
        <v>0</v>
      </c>
      <c r="BD18" s="373">
        <f t="shared" si="12"/>
        <v>0</v>
      </c>
      <c r="BE18" s="373">
        <f t="shared" si="13"/>
        <v>0</v>
      </c>
      <c r="BF18" s="47">
        <f t="shared" si="14"/>
        <v>1103.3751867369988</v>
      </c>
      <c r="BG18" s="47">
        <f t="shared" si="15"/>
        <v>2262.9023189376967</v>
      </c>
      <c r="BH18" s="47">
        <f t="shared" si="16"/>
        <v>631.93325192737336</v>
      </c>
      <c r="BI18" s="47">
        <f t="shared" si="17"/>
        <v>0</v>
      </c>
      <c r="BJ18" s="47">
        <f t="shared" si="18"/>
        <v>639.66892910521619</v>
      </c>
      <c r="BL18" s="375">
        <f>BC18*(1+AusNet_Overheads!H$22)*RFM_PTRM!L$3</f>
        <v>0</v>
      </c>
      <c r="BM18" s="375">
        <f>BD18*(1+AusNet_Overheads!I$22)*RFM_PTRM!M$3</f>
        <v>0</v>
      </c>
      <c r="BN18" s="375">
        <f>BE18*(1+AusNet_Overheads!J$22)*RFM_PTRM!N$3</f>
        <v>0</v>
      </c>
      <c r="BO18" s="641" t="str">
        <f t="shared" si="24"/>
        <v>Non-network - Metering related IT</v>
      </c>
    </row>
    <row r="19" spans="2:67" x14ac:dyDescent="0.3">
      <c r="B19" s="7"/>
      <c r="C19" s="7"/>
      <c r="D19" s="7"/>
      <c r="E19" s="7"/>
      <c r="F19" s="7"/>
      <c r="G19" s="7"/>
      <c r="H19" s="7"/>
      <c r="I19" s="7"/>
      <c r="J19" s="45"/>
      <c r="K19" s="45"/>
      <c r="L19" s="45"/>
      <c r="M19" s="45"/>
      <c r="N19" s="45"/>
      <c r="O19" s="45"/>
      <c r="P19" s="45"/>
      <c r="Q19" s="45"/>
      <c r="S19" s="47"/>
      <c r="T19" s="47"/>
      <c r="U19" s="47"/>
      <c r="V19" s="47"/>
      <c r="W19" s="47"/>
      <c r="X19" s="47"/>
      <c r="Y19" s="47"/>
      <c r="Z19" s="47"/>
      <c r="AB19" s="47"/>
      <c r="AC19" s="47"/>
      <c r="AD19" s="47"/>
      <c r="AE19" s="47"/>
      <c r="AF19" s="47"/>
      <c r="AG19" s="47"/>
      <c r="AH19" s="47"/>
      <c r="AI19" s="47"/>
      <c r="AK19" s="47"/>
      <c r="AL19" s="47"/>
      <c r="AM19" s="47"/>
      <c r="AN19" s="47"/>
      <c r="AO19" s="47"/>
      <c r="AP19" s="47"/>
      <c r="AQ19" s="47"/>
      <c r="AR19" s="47"/>
      <c r="AT19" s="83"/>
      <c r="AU19" s="83"/>
      <c r="AV19" s="83"/>
      <c r="AW19" s="83"/>
      <c r="AX19" s="83"/>
      <c r="AY19" s="83"/>
      <c r="AZ19" s="83"/>
      <c r="BA19" s="83"/>
      <c r="BC19" s="373">
        <f t="shared" si="11"/>
        <v>0</v>
      </c>
      <c r="BD19" s="373">
        <f t="shared" si="12"/>
        <v>0</v>
      </c>
      <c r="BE19" s="373">
        <f t="shared" si="13"/>
        <v>0</v>
      </c>
      <c r="BF19" s="47">
        <f t="shared" si="14"/>
        <v>0</v>
      </c>
      <c r="BG19" s="47">
        <f t="shared" si="15"/>
        <v>0</v>
      </c>
      <c r="BH19" s="47">
        <f t="shared" si="16"/>
        <v>0</v>
      </c>
      <c r="BI19" s="47">
        <f t="shared" si="17"/>
        <v>0</v>
      </c>
      <c r="BJ19" s="47">
        <f t="shared" si="18"/>
        <v>0</v>
      </c>
      <c r="BL19" s="375"/>
      <c r="BM19" s="375"/>
      <c r="BN19" s="375"/>
    </row>
    <row r="20" spans="2:67" x14ac:dyDescent="0.3">
      <c r="B20" s="7"/>
      <c r="C20" s="7"/>
      <c r="D20" s="7"/>
      <c r="E20" s="7"/>
      <c r="F20" s="7"/>
      <c r="G20" s="7"/>
      <c r="H20" s="7"/>
      <c r="I20" s="7"/>
      <c r="J20" s="45"/>
      <c r="K20" s="45"/>
      <c r="L20" s="45"/>
      <c r="M20" s="45"/>
      <c r="N20" s="45"/>
      <c r="O20" s="45"/>
      <c r="P20" s="45"/>
      <c r="Q20" s="45"/>
      <c r="S20" s="47"/>
      <c r="T20" s="47"/>
      <c r="U20" s="47"/>
      <c r="V20" s="47"/>
      <c r="W20" s="47"/>
      <c r="X20" s="47"/>
      <c r="Y20" s="47"/>
      <c r="Z20" s="47"/>
      <c r="AB20" s="47"/>
      <c r="AC20" s="47"/>
      <c r="AD20" s="47"/>
      <c r="AE20" s="47"/>
      <c r="AF20" s="47"/>
      <c r="AG20" s="47"/>
      <c r="AH20" s="47"/>
      <c r="AI20" s="47"/>
      <c r="AK20" s="47"/>
      <c r="AL20" s="47"/>
      <c r="AM20" s="47"/>
      <c r="AN20" s="47"/>
      <c r="AO20" s="47"/>
      <c r="AP20" s="47"/>
      <c r="AQ20" s="47"/>
      <c r="AR20" s="47"/>
      <c r="AT20" s="83"/>
      <c r="AU20" s="83"/>
      <c r="AV20" s="83"/>
      <c r="AW20" s="83"/>
      <c r="AX20" s="83"/>
      <c r="AY20" s="83"/>
      <c r="AZ20" s="83"/>
      <c r="BA20" s="83"/>
      <c r="BC20" s="373">
        <f t="shared" si="11"/>
        <v>0</v>
      </c>
      <c r="BD20" s="373">
        <f t="shared" si="12"/>
        <v>0</v>
      </c>
      <c r="BE20" s="373">
        <f t="shared" si="13"/>
        <v>0</v>
      </c>
      <c r="BF20" s="47">
        <f t="shared" si="14"/>
        <v>0</v>
      </c>
      <c r="BG20" s="47">
        <f t="shared" si="15"/>
        <v>0</v>
      </c>
      <c r="BH20" s="47">
        <f t="shared" si="16"/>
        <v>0</v>
      </c>
      <c r="BI20" s="47">
        <f t="shared" si="17"/>
        <v>0</v>
      </c>
      <c r="BJ20" s="47">
        <f t="shared" si="18"/>
        <v>0</v>
      </c>
      <c r="BL20" s="375"/>
      <c r="BM20" s="375"/>
      <c r="BN20" s="375"/>
    </row>
    <row r="21" spans="2:67" x14ac:dyDescent="0.3">
      <c r="B21" s="7"/>
      <c r="C21" s="7"/>
      <c r="D21" s="7"/>
      <c r="E21" s="7"/>
      <c r="F21" s="7"/>
      <c r="G21" s="7"/>
      <c r="H21" s="7"/>
      <c r="I21" s="7"/>
      <c r="J21" s="45"/>
      <c r="K21" s="45"/>
      <c r="L21" s="45"/>
      <c r="M21" s="45"/>
      <c r="N21" s="45"/>
      <c r="O21" s="45"/>
      <c r="P21" s="45"/>
      <c r="Q21" s="45"/>
      <c r="S21" s="47"/>
      <c r="T21" s="47"/>
      <c r="U21" s="47"/>
      <c r="V21" s="47"/>
      <c r="W21" s="47"/>
      <c r="X21" s="47"/>
      <c r="Y21" s="47"/>
      <c r="Z21" s="47"/>
      <c r="AB21" s="47"/>
      <c r="AC21" s="47"/>
      <c r="AD21" s="47"/>
      <c r="AE21" s="47"/>
      <c r="AF21" s="47"/>
      <c r="AG21" s="47"/>
      <c r="AH21" s="47"/>
      <c r="AI21" s="47"/>
      <c r="AK21" s="47"/>
      <c r="AL21" s="47"/>
      <c r="AM21" s="47"/>
      <c r="AN21" s="47"/>
      <c r="AO21" s="47"/>
      <c r="AP21" s="47"/>
      <c r="AQ21" s="47"/>
      <c r="AR21" s="47"/>
      <c r="AT21" s="83"/>
      <c r="AU21" s="83"/>
      <c r="AV21" s="83"/>
      <c r="AW21" s="83"/>
      <c r="AX21" s="83"/>
      <c r="AY21" s="83"/>
      <c r="AZ21" s="83"/>
      <c r="BA21" s="83"/>
      <c r="BC21" s="373">
        <f t="shared" si="11"/>
        <v>0</v>
      </c>
      <c r="BD21" s="373">
        <f t="shared" si="12"/>
        <v>0</v>
      </c>
      <c r="BE21" s="373">
        <f t="shared" si="13"/>
        <v>0</v>
      </c>
      <c r="BF21" s="47">
        <f t="shared" si="14"/>
        <v>0</v>
      </c>
      <c r="BG21" s="47">
        <f t="shared" si="15"/>
        <v>0</v>
      </c>
      <c r="BH21" s="47">
        <f t="shared" si="16"/>
        <v>0</v>
      </c>
      <c r="BI21" s="47">
        <f t="shared" si="17"/>
        <v>0</v>
      </c>
      <c r="BJ21" s="47">
        <f t="shared" si="18"/>
        <v>0</v>
      </c>
      <c r="BL21" s="375"/>
      <c r="BM21" s="375"/>
      <c r="BN21" s="375"/>
    </row>
    <row r="22" spans="2:67" x14ac:dyDescent="0.3">
      <c r="B22" s="7"/>
      <c r="C22" s="7"/>
      <c r="D22" s="7"/>
      <c r="E22" s="7"/>
      <c r="F22" s="7"/>
      <c r="G22" s="7"/>
      <c r="H22" s="7"/>
      <c r="I22" s="7"/>
      <c r="J22" s="45"/>
      <c r="K22" s="45"/>
      <c r="L22" s="45"/>
      <c r="M22" s="45"/>
      <c r="N22" s="45"/>
      <c r="O22" s="45"/>
      <c r="P22" s="45"/>
      <c r="Q22" s="45"/>
      <c r="S22" s="47"/>
      <c r="T22" s="47"/>
      <c r="U22" s="47"/>
      <c r="V22" s="47"/>
      <c r="W22" s="47"/>
      <c r="X22" s="47"/>
      <c r="Y22" s="47"/>
      <c r="Z22" s="47"/>
      <c r="AB22" s="47"/>
      <c r="AC22" s="47"/>
      <c r="AD22" s="47"/>
      <c r="AE22" s="47"/>
      <c r="AF22" s="47"/>
      <c r="AG22" s="47"/>
      <c r="AH22" s="47"/>
      <c r="AI22" s="47"/>
      <c r="AK22" s="47"/>
      <c r="AL22" s="47"/>
      <c r="AM22" s="47"/>
      <c r="AN22" s="47"/>
      <c r="AO22" s="47"/>
      <c r="AP22" s="47"/>
      <c r="AQ22" s="47"/>
      <c r="AR22" s="47"/>
      <c r="AT22" s="83"/>
      <c r="AU22" s="83"/>
      <c r="AV22" s="83"/>
      <c r="AW22" s="83"/>
      <c r="AX22" s="83"/>
      <c r="AY22" s="83"/>
      <c r="AZ22" s="83"/>
      <c r="BA22" s="83"/>
      <c r="BC22" s="373">
        <f t="shared" si="11"/>
        <v>0</v>
      </c>
      <c r="BD22" s="373">
        <f t="shared" si="12"/>
        <v>0</v>
      </c>
      <c r="BE22" s="373">
        <f t="shared" si="13"/>
        <v>0</v>
      </c>
      <c r="BF22" s="47">
        <f t="shared" si="14"/>
        <v>0</v>
      </c>
      <c r="BG22" s="47">
        <f t="shared" si="15"/>
        <v>0</v>
      </c>
      <c r="BH22" s="47">
        <f t="shared" si="16"/>
        <v>0</v>
      </c>
      <c r="BI22" s="47">
        <f t="shared" si="17"/>
        <v>0</v>
      </c>
      <c r="BJ22" s="47">
        <f t="shared" si="18"/>
        <v>0</v>
      </c>
      <c r="BL22" s="375"/>
      <c r="BM22" s="375"/>
      <c r="BN22" s="375"/>
    </row>
    <row r="23" spans="2:67" x14ac:dyDescent="0.3">
      <c r="B23" s="7"/>
      <c r="C23" s="7"/>
      <c r="D23" s="7"/>
      <c r="E23" s="7"/>
      <c r="F23" s="7"/>
      <c r="G23" s="7"/>
      <c r="H23" s="7"/>
      <c r="I23" s="7"/>
      <c r="J23" s="45"/>
      <c r="K23" s="45"/>
      <c r="L23" s="45"/>
      <c r="M23" s="45"/>
      <c r="N23" s="45"/>
      <c r="O23" s="45"/>
      <c r="P23" s="45"/>
      <c r="Q23" s="45"/>
      <c r="S23" s="47"/>
      <c r="T23" s="47"/>
      <c r="U23" s="47"/>
      <c r="V23" s="47"/>
      <c r="W23" s="47"/>
      <c r="X23" s="47"/>
      <c r="Y23" s="47"/>
      <c r="Z23" s="47"/>
      <c r="AB23" s="47"/>
      <c r="AC23" s="47"/>
      <c r="AD23" s="47"/>
      <c r="AE23" s="47"/>
      <c r="AF23" s="47"/>
      <c r="AG23" s="47"/>
      <c r="AH23" s="47"/>
      <c r="AI23" s="47"/>
      <c r="AK23" s="47"/>
      <c r="AL23" s="47"/>
      <c r="AM23" s="47"/>
      <c r="AN23" s="47"/>
      <c r="AO23" s="47"/>
      <c r="AP23" s="47"/>
      <c r="AQ23" s="47"/>
      <c r="AR23" s="47"/>
      <c r="AT23" s="83"/>
      <c r="AU23" s="83"/>
      <c r="AV23" s="83"/>
      <c r="AW23" s="83"/>
      <c r="AX23" s="83"/>
      <c r="AY23" s="83"/>
      <c r="AZ23" s="83"/>
      <c r="BA23" s="83"/>
      <c r="BC23" s="47">
        <f t="shared" si="1"/>
        <v>0</v>
      </c>
      <c r="BD23" s="47">
        <f t="shared" ref="BD23:BJ23" si="25">T23+AC23+AL23+AU23</f>
        <v>0</v>
      </c>
      <c r="BE23" s="47">
        <f t="shared" si="25"/>
        <v>0</v>
      </c>
      <c r="BF23" s="47">
        <f t="shared" si="25"/>
        <v>0</v>
      </c>
      <c r="BG23" s="47">
        <f t="shared" si="25"/>
        <v>0</v>
      </c>
      <c r="BH23" s="47">
        <f t="shared" si="25"/>
        <v>0</v>
      </c>
      <c r="BI23" s="47">
        <f t="shared" si="25"/>
        <v>0</v>
      </c>
      <c r="BJ23" s="47">
        <f t="shared" si="25"/>
        <v>0</v>
      </c>
      <c r="BL23" s="375"/>
      <c r="BM23" s="375"/>
      <c r="BN23" s="375"/>
    </row>
    <row r="24" spans="2:67" x14ac:dyDescent="0.3">
      <c r="B24" s="7"/>
      <c r="C24" s="7"/>
      <c r="D24" s="7"/>
      <c r="E24" s="7"/>
      <c r="F24" s="7"/>
      <c r="G24" s="7"/>
      <c r="H24" s="7"/>
      <c r="I24" s="7"/>
      <c r="J24" s="45"/>
      <c r="K24" s="45"/>
      <c r="L24" s="45"/>
      <c r="M24" s="45"/>
      <c r="N24" s="45"/>
      <c r="O24" s="45"/>
      <c r="P24" s="45"/>
      <c r="Q24" s="45"/>
      <c r="S24" s="47"/>
      <c r="T24" s="47"/>
      <c r="U24" s="47"/>
      <c r="V24" s="47"/>
      <c r="W24" s="47"/>
      <c r="X24" s="47"/>
      <c r="Y24" s="47"/>
      <c r="Z24" s="47"/>
      <c r="AB24" s="47"/>
      <c r="AC24" s="47"/>
      <c r="AD24" s="47"/>
      <c r="AE24" s="47"/>
      <c r="AF24" s="47"/>
      <c r="AG24" s="47"/>
      <c r="AH24" s="47"/>
      <c r="AI24" s="47"/>
      <c r="AK24" s="47"/>
      <c r="AL24" s="47"/>
      <c r="AM24" s="47"/>
      <c r="AN24" s="47"/>
      <c r="AO24" s="47"/>
      <c r="AP24" s="47"/>
      <c r="AQ24" s="47"/>
      <c r="AR24" s="47"/>
      <c r="AT24" s="47"/>
      <c r="AU24" s="47"/>
      <c r="AV24" s="47"/>
      <c r="AW24" s="47"/>
      <c r="AX24" s="47"/>
      <c r="AY24" s="47"/>
      <c r="AZ24" s="47"/>
      <c r="BA24" s="47"/>
      <c r="BC24" s="47">
        <f t="shared" ref="BC24:BC36" si="26">S24+AB24+AK24+AT24</f>
        <v>0</v>
      </c>
      <c r="BD24" s="47">
        <f t="shared" ref="BD24:BD36" si="27">T24+AC24+AL24+AU24</f>
        <v>0</v>
      </c>
      <c r="BE24" s="47">
        <f t="shared" ref="BE24:BE36" si="28">U24+AD24+AM24+AV24</f>
        <v>0</v>
      </c>
      <c r="BF24" s="47">
        <f t="shared" ref="BF24:BF36" si="29">V24+AE24+AN24+AW24</f>
        <v>0</v>
      </c>
      <c r="BG24" s="47">
        <f t="shared" ref="BG24:BG36" si="30">W24+AF24+AO24+AX24</f>
        <v>0</v>
      </c>
      <c r="BH24" s="47">
        <f t="shared" ref="BH24:BH36" si="31">X24+AG24+AP24+AY24</f>
        <v>0</v>
      </c>
      <c r="BI24" s="47">
        <f t="shared" ref="BI24:BI36" si="32">Y24+AH24+AQ24+AZ24</f>
        <v>0</v>
      </c>
      <c r="BJ24" s="47">
        <f t="shared" ref="BJ24:BJ36" si="33">Z24+AI24+AR24+BA24</f>
        <v>0</v>
      </c>
      <c r="BL24" s="375"/>
      <c r="BM24" s="375"/>
      <c r="BN24" s="375"/>
    </row>
    <row r="25" spans="2:67" x14ac:dyDescent="0.3">
      <c r="B25" s="7"/>
      <c r="C25" s="7"/>
      <c r="D25" s="7"/>
      <c r="E25" s="7"/>
      <c r="F25" s="7"/>
      <c r="G25" s="7"/>
      <c r="H25" s="7"/>
      <c r="I25" s="7"/>
      <c r="J25" s="45"/>
      <c r="K25" s="45"/>
      <c r="L25" s="45"/>
      <c r="M25" s="45"/>
      <c r="N25" s="45"/>
      <c r="O25" s="45"/>
      <c r="P25" s="45"/>
      <c r="Q25" s="45"/>
      <c r="S25" s="47"/>
      <c r="T25" s="47"/>
      <c r="U25" s="47"/>
      <c r="V25" s="47"/>
      <c r="W25" s="47"/>
      <c r="X25" s="47"/>
      <c r="Y25" s="47"/>
      <c r="Z25" s="47"/>
      <c r="AB25" s="47"/>
      <c r="AC25" s="47"/>
      <c r="AD25" s="47"/>
      <c r="AE25" s="47"/>
      <c r="AF25" s="47"/>
      <c r="AG25" s="47"/>
      <c r="AH25" s="47"/>
      <c r="AI25" s="47"/>
      <c r="AK25" s="47"/>
      <c r="AL25" s="47"/>
      <c r="AM25" s="47"/>
      <c r="AN25" s="47"/>
      <c r="AO25" s="47"/>
      <c r="AP25" s="47"/>
      <c r="AQ25" s="47"/>
      <c r="AR25" s="47"/>
      <c r="AT25" s="47"/>
      <c r="AU25" s="47"/>
      <c r="AV25" s="47"/>
      <c r="AW25" s="47"/>
      <c r="AX25" s="47"/>
      <c r="AY25" s="47"/>
      <c r="AZ25" s="47"/>
      <c r="BA25" s="47"/>
      <c r="BC25" s="47">
        <f t="shared" si="26"/>
        <v>0</v>
      </c>
      <c r="BD25" s="47">
        <f t="shared" si="27"/>
        <v>0</v>
      </c>
      <c r="BE25" s="47">
        <f t="shared" si="28"/>
        <v>0</v>
      </c>
      <c r="BF25" s="47">
        <f t="shared" si="29"/>
        <v>0</v>
      </c>
      <c r="BG25" s="47">
        <f t="shared" si="30"/>
        <v>0</v>
      </c>
      <c r="BH25" s="47">
        <f t="shared" si="31"/>
        <v>0</v>
      </c>
      <c r="BI25" s="47">
        <f t="shared" si="32"/>
        <v>0</v>
      </c>
      <c r="BJ25" s="47">
        <f t="shared" si="33"/>
        <v>0</v>
      </c>
      <c r="BL25" s="375"/>
      <c r="BM25" s="375"/>
      <c r="BN25" s="375"/>
    </row>
    <row r="26" spans="2:67" x14ac:dyDescent="0.3">
      <c r="B26" s="7"/>
      <c r="C26" s="7"/>
      <c r="D26" s="7"/>
      <c r="E26" s="7"/>
      <c r="F26" s="7"/>
      <c r="G26" s="7"/>
      <c r="H26" s="7"/>
      <c r="I26" s="7"/>
      <c r="J26" s="45"/>
      <c r="K26" s="45"/>
      <c r="L26" s="45"/>
      <c r="M26" s="45"/>
      <c r="N26" s="45"/>
      <c r="O26" s="45"/>
      <c r="P26" s="45"/>
      <c r="Q26" s="45"/>
      <c r="S26" s="47"/>
      <c r="T26" s="47"/>
      <c r="U26" s="47"/>
      <c r="V26" s="47"/>
      <c r="W26" s="47"/>
      <c r="X26" s="47"/>
      <c r="Y26" s="47"/>
      <c r="Z26" s="47"/>
      <c r="AB26" s="47"/>
      <c r="AC26" s="47"/>
      <c r="AD26" s="47"/>
      <c r="AE26" s="47"/>
      <c r="AF26" s="47"/>
      <c r="AG26" s="47"/>
      <c r="AH26" s="47"/>
      <c r="AI26" s="47"/>
      <c r="AK26" s="47"/>
      <c r="AL26" s="47"/>
      <c r="AM26" s="47"/>
      <c r="AN26" s="47"/>
      <c r="AO26" s="47"/>
      <c r="AP26" s="47"/>
      <c r="AQ26" s="47"/>
      <c r="AR26" s="47"/>
      <c r="AT26" s="47"/>
      <c r="AU26" s="47"/>
      <c r="AV26" s="47"/>
      <c r="AW26" s="47"/>
      <c r="AX26" s="47"/>
      <c r="AY26" s="47"/>
      <c r="AZ26" s="47"/>
      <c r="BA26" s="47"/>
      <c r="BC26" s="47">
        <f t="shared" si="26"/>
        <v>0</v>
      </c>
      <c r="BD26" s="47">
        <f t="shared" si="27"/>
        <v>0</v>
      </c>
      <c r="BE26" s="47">
        <f t="shared" si="28"/>
        <v>0</v>
      </c>
      <c r="BF26" s="47">
        <f t="shared" si="29"/>
        <v>0</v>
      </c>
      <c r="BG26" s="47">
        <f t="shared" si="30"/>
        <v>0</v>
      </c>
      <c r="BH26" s="47">
        <f t="shared" si="31"/>
        <v>0</v>
      </c>
      <c r="BI26" s="47">
        <f t="shared" si="32"/>
        <v>0</v>
      </c>
      <c r="BJ26" s="47">
        <f t="shared" si="33"/>
        <v>0</v>
      </c>
      <c r="BL26" s="375"/>
      <c r="BM26" s="375"/>
      <c r="BN26" s="375"/>
    </row>
    <row r="27" spans="2:67" x14ac:dyDescent="0.3">
      <c r="B27" s="7"/>
      <c r="C27" s="7"/>
      <c r="D27" s="7"/>
      <c r="E27" s="7"/>
      <c r="F27" s="7"/>
      <c r="G27" s="7"/>
      <c r="H27" s="7"/>
      <c r="I27" s="7"/>
      <c r="J27" s="45"/>
      <c r="K27" s="45"/>
      <c r="L27" s="45"/>
      <c r="M27" s="45"/>
      <c r="N27" s="45"/>
      <c r="O27" s="45"/>
      <c r="P27" s="45"/>
      <c r="Q27" s="45"/>
      <c r="S27" s="47"/>
      <c r="T27" s="47"/>
      <c r="U27" s="47"/>
      <c r="V27" s="47"/>
      <c r="W27" s="47"/>
      <c r="X27" s="47"/>
      <c r="Y27" s="47"/>
      <c r="Z27" s="47"/>
      <c r="AB27" s="47"/>
      <c r="AC27" s="47"/>
      <c r="AD27" s="47"/>
      <c r="AE27" s="47"/>
      <c r="AF27" s="47"/>
      <c r="AG27" s="47"/>
      <c r="AH27" s="47"/>
      <c r="AI27" s="47"/>
      <c r="AK27" s="47"/>
      <c r="AL27" s="47"/>
      <c r="AM27" s="47"/>
      <c r="AN27" s="47"/>
      <c r="AO27" s="47"/>
      <c r="AP27" s="47"/>
      <c r="AQ27" s="47"/>
      <c r="AR27" s="47"/>
      <c r="AT27" s="47"/>
      <c r="AU27" s="47"/>
      <c r="AV27" s="47"/>
      <c r="AW27" s="47"/>
      <c r="AX27" s="47"/>
      <c r="AY27" s="47"/>
      <c r="AZ27" s="47"/>
      <c r="BA27" s="47"/>
      <c r="BC27" s="47">
        <f t="shared" si="26"/>
        <v>0</v>
      </c>
      <c r="BD27" s="47">
        <f t="shared" si="27"/>
        <v>0</v>
      </c>
      <c r="BE27" s="47">
        <f t="shared" si="28"/>
        <v>0</v>
      </c>
      <c r="BF27" s="47">
        <f t="shared" si="29"/>
        <v>0</v>
      </c>
      <c r="BG27" s="47">
        <f t="shared" si="30"/>
        <v>0</v>
      </c>
      <c r="BH27" s="47">
        <f t="shared" si="31"/>
        <v>0</v>
      </c>
      <c r="BI27" s="47">
        <f t="shared" si="32"/>
        <v>0</v>
      </c>
      <c r="BJ27" s="47">
        <f t="shared" si="33"/>
        <v>0</v>
      </c>
      <c r="BL27" s="375"/>
      <c r="BM27" s="375"/>
      <c r="BN27" s="375"/>
    </row>
    <row r="28" spans="2:67" x14ac:dyDescent="0.3">
      <c r="B28" s="7"/>
      <c r="C28" s="7"/>
      <c r="D28" s="7"/>
      <c r="E28" s="7"/>
      <c r="F28" s="7"/>
      <c r="G28" s="7"/>
      <c r="H28" s="7"/>
      <c r="I28" s="7"/>
      <c r="J28" s="45"/>
      <c r="K28" s="45"/>
      <c r="L28" s="45"/>
      <c r="M28" s="45"/>
      <c r="N28" s="45"/>
      <c r="O28" s="45"/>
      <c r="P28" s="45"/>
      <c r="Q28" s="45"/>
      <c r="S28" s="47"/>
      <c r="T28" s="47"/>
      <c r="U28" s="47"/>
      <c r="V28" s="47"/>
      <c r="W28" s="47"/>
      <c r="X28" s="47"/>
      <c r="Y28" s="47"/>
      <c r="Z28" s="47"/>
      <c r="AB28" s="47"/>
      <c r="AC28" s="47"/>
      <c r="AD28" s="47"/>
      <c r="AE28" s="47"/>
      <c r="AF28" s="47"/>
      <c r="AG28" s="47"/>
      <c r="AH28" s="47"/>
      <c r="AI28" s="47"/>
      <c r="AK28" s="47"/>
      <c r="AL28" s="47"/>
      <c r="AM28" s="47"/>
      <c r="AN28" s="47"/>
      <c r="AO28" s="47"/>
      <c r="AP28" s="47"/>
      <c r="AQ28" s="47"/>
      <c r="AR28" s="47"/>
      <c r="AT28" s="47"/>
      <c r="AU28" s="47"/>
      <c r="AV28" s="47"/>
      <c r="AW28" s="47"/>
      <c r="AX28" s="47"/>
      <c r="AY28" s="47"/>
      <c r="AZ28" s="47"/>
      <c r="BA28" s="47"/>
      <c r="BC28" s="47">
        <f t="shared" si="26"/>
        <v>0</v>
      </c>
      <c r="BD28" s="47">
        <f t="shared" si="27"/>
        <v>0</v>
      </c>
      <c r="BE28" s="47">
        <f t="shared" si="28"/>
        <v>0</v>
      </c>
      <c r="BF28" s="47">
        <f t="shared" si="29"/>
        <v>0</v>
      </c>
      <c r="BG28" s="47">
        <f t="shared" si="30"/>
        <v>0</v>
      </c>
      <c r="BH28" s="47">
        <f t="shared" si="31"/>
        <v>0</v>
      </c>
      <c r="BI28" s="47">
        <f t="shared" si="32"/>
        <v>0</v>
      </c>
      <c r="BJ28" s="47">
        <f t="shared" si="33"/>
        <v>0</v>
      </c>
      <c r="BL28" s="375"/>
      <c r="BM28" s="375"/>
      <c r="BN28" s="375"/>
    </row>
    <row r="29" spans="2:67" x14ac:dyDescent="0.3">
      <c r="B29" s="7"/>
      <c r="C29" s="7"/>
      <c r="D29" s="7"/>
      <c r="E29" s="7"/>
      <c r="F29" s="7"/>
      <c r="G29" s="7"/>
      <c r="H29" s="7"/>
      <c r="I29" s="7"/>
      <c r="J29" s="45"/>
      <c r="K29" s="45"/>
      <c r="L29" s="45"/>
      <c r="M29" s="45"/>
      <c r="N29" s="45"/>
      <c r="O29" s="45"/>
      <c r="P29" s="45"/>
      <c r="Q29" s="45"/>
      <c r="S29" s="47"/>
      <c r="T29" s="47"/>
      <c r="U29" s="47"/>
      <c r="V29" s="47"/>
      <c r="W29" s="47"/>
      <c r="X29" s="47"/>
      <c r="Y29" s="47"/>
      <c r="Z29" s="47"/>
      <c r="AB29" s="47"/>
      <c r="AC29" s="47"/>
      <c r="AD29" s="47"/>
      <c r="AE29" s="47"/>
      <c r="AF29" s="47"/>
      <c r="AG29" s="47"/>
      <c r="AH29" s="47"/>
      <c r="AI29" s="47"/>
      <c r="AK29" s="47"/>
      <c r="AL29" s="47"/>
      <c r="AM29" s="47"/>
      <c r="AN29" s="47"/>
      <c r="AO29" s="47"/>
      <c r="AP29" s="47"/>
      <c r="AQ29" s="47"/>
      <c r="AR29" s="47"/>
      <c r="AT29" s="47"/>
      <c r="AU29" s="47"/>
      <c r="AV29" s="47"/>
      <c r="AW29" s="47"/>
      <c r="AX29" s="47"/>
      <c r="AY29" s="47"/>
      <c r="AZ29" s="47"/>
      <c r="BA29" s="47"/>
      <c r="BC29" s="47">
        <f t="shared" si="26"/>
        <v>0</v>
      </c>
      <c r="BD29" s="47">
        <f t="shared" si="27"/>
        <v>0</v>
      </c>
      <c r="BE29" s="47">
        <f t="shared" si="28"/>
        <v>0</v>
      </c>
      <c r="BF29" s="47">
        <f t="shared" si="29"/>
        <v>0</v>
      </c>
      <c r="BG29" s="47">
        <f t="shared" si="30"/>
        <v>0</v>
      </c>
      <c r="BH29" s="47">
        <f t="shared" si="31"/>
        <v>0</v>
      </c>
      <c r="BI29" s="47">
        <f t="shared" si="32"/>
        <v>0</v>
      </c>
      <c r="BJ29" s="47">
        <f t="shared" si="33"/>
        <v>0</v>
      </c>
      <c r="BL29" s="375"/>
      <c r="BM29" s="375"/>
      <c r="BN29" s="375"/>
    </row>
    <row r="30" spans="2:67" x14ac:dyDescent="0.3">
      <c r="B30" s="7"/>
      <c r="C30" s="7"/>
      <c r="D30" s="7"/>
      <c r="E30" s="7"/>
      <c r="F30" s="7"/>
      <c r="G30" s="7"/>
      <c r="H30" s="7"/>
      <c r="I30" s="7"/>
      <c r="J30" s="45"/>
      <c r="K30" s="45"/>
      <c r="L30" s="45"/>
      <c r="M30" s="45"/>
      <c r="N30" s="45"/>
      <c r="O30" s="45"/>
      <c r="P30" s="45"/>
      <c r="Q30" s="45"/>
      <c r="S30" s="47"/>
      <c r="T30" s="47"/>
      <c r="U30" s="47"/>
      <c r="V30" s="47"/>
      <c r="W30" s="47"/>
      <c r="X30" s="47"/>
      <c r="Y30" s="47"/>
      <c r="Z30" s="47"/>
      <c r="AB30" s="47"/>
      <c r="AC30" s="47"/>
      <c r="AD30" s="47"/>
      <c r="AE30" s="47"/>
      <c r="AF30" s="47"/>
      <c r="AG30" s="47"/>
      <c r="AH30" s="47"/>
      <c r="AI30" s="47"/>
      <c r="AK30" s="47"/>
      <c r="AL30" s="47"/>
      <c r="AM30" s="47"/>
      <c r="AN30" s="47"/>
      <c r="AO30" s="47"/>
      <c r="AP30" s="47"/>
      <c r="AQ30" s="47"/>
      <c r="AR30" s="47"/>
      <c r="AT30" s="47"/>
      <c r="AU30" s="47"/>
      <c r="AV30" s="47"/>
      <c r="AW30" s="47"/>
      <c r="AX30" s="47"/>
      <c r="AY30" s="47"/>
      <c r="AZ30" s="47"/>
      <c r="BA30" s="47"/>
      <c r="BC30" s="47">
        <f t="shared" si="26"/>
        <v>0</v>
      </c>
      <c r="BD30" s="47">
        <f t="shared" si="27"/>
        <v>0</v>
      </c>
      <c r="BE30" s="47">
        <f t="shared" si="28"/>
        <v>0</v>
      </c>
      <c r="BF30" s="47">
        <f t="shared" si="29"/>
        <v>0</v>
      </c>
      <c r="BG30" s="47">
        <f t="shared" si="30"/>
        <v>0</v>
      </c>
      <c r="BH30" s="47">
        <f t="shared" si="31"/>
        <v>0</v>
      </c>
      <c r="BI30" s="47">
        <f t="shared" si="32"/>
        <v>0</v>
      </c>
      <c r="BJ30" s="47">
        <f t="shared" si="33"/>
        <v>0</v>
      </c>
      <c r="BL30" s="375"/>
      <c r="BM30" s="375"/>
      <c r="BN30" s="375"/>
    </row>
    <row r="31" spans="2:67" x14ac:dyDescent="0.3">
      <c r="B31" s="7"/>
      <c r="C31" s="7"/>
      <c r="D31" s="7"/>
      <c r="E31" s="7"/>
      <c r="F31" s="7"/>
      <c r="G31" s="7"/>
      <c r="H31" s="7"/>
      <c r="I31" s="7"/>
      <c r="J31" s="45"/>
      <c r="K31" s="45"/>
      <c r="L31" s="45"/>
      <c r="M31" s="45"/>
      <c r="N31" s="45"/>
      <c r="O31" s="45"/>
      <c r="P31" s="45"/>
      <c r="Q31" s="45"/>
      <c r="S31" s="47"/>
      <c r="T31" s="47"/>
      <c r="U31" s="47"/>
      <c r="V31" s="47"/>
      <c r="W31" s="47"/>
      <c r="X31" s="47"/>
      <c r="Y31" s="47"/>
      <c r="Z31" s="47"/>
      <c r="AB31" s="47"/>
      <c r="AC31" s="47"/>
      <c r="AD31" s="47"/>
      <c r="AE31" s="47"/>
      <c r="AF31" s="47"/>
      <c r="AG31" s="47"/>
      <c r="AH31" s="47"/>
      <c r="AI31" s="47"/>
      <c r="AK31" s="47"/>
      <c r="AL31" s="47"/>
      <c r="AM31" s="47"/>
      <c r="AN31" s="47"/>
      <c r="AO31" s="47"/>
      <c r="AP31" s="47"/>
      <c r="AQ31" s="47"/>
      <c r="AR31" s="47"/>
      <c r="AT31" s="47"/>
      <c r="AU31" s="47"/>
      <c r="AV31" s="47"/>
      <c r="AW31" s="47"/>
      <c r="AX31" s="47"/>
      <c r="AY31" s="47"/>
      <c r="AZ31" s="47"/>
      <c r="BA31" s="47"/>
      <c r="BC31" s="47">
        <f t="shared" si="26"/>
        <v>0</v>
      </c>
      <c r="BD31" s="47">
        <f t="shared" si="27"/>
        <v>0</v>
      </c>
      <c r="BE31" s="47">
        <f t="shared" si="28"/>
        <v>0</v>
      </c>
      <c r="BF31" s="47">
        <f t="shared" si="29"/>
        <v>0</v>
      </c>
      <c r="BG31" s="47">
        <f t="shared" si="30"/>
        <v>0</v>
      </c>
      <c r="BH31" s="47">
        <f t="shared" si="31"/>
        <v>0</v>
      </c>
      <c r="BI31" s="47">
        <f t="shared" si="32"/>
        <v>0</v>
      </c>
      <c r="BJ31" s="47">
        <f t="shared" si="33"/>
        <v>0</v>
      </c>
      <c r="BL31" s="375"/>
      <c r="BM31" s="375"/>
      <c r="BN31" s="375"/>
    </row>
    <row r="32" spans="2:67" x14ac:dyDescent="0.3">
      <c r="B32" s="7"/>
      <c r="C32" s="7"/>
      <c r="D32" s="7"/>
      <c r="E32" s="7"/>
      <c r="F32" s="7"/>
      <c r="G32" s="7"/>
      <c r="H32" s="7"/>
      <c r="I32" s="7"/>
      <c r="J32" s="45"/>
      <c r="K32" s="45"/>
      <c r="L32" s="45"/>
      <c r="M32" s="45"/>
      <c r="N32" s="45"/>
      <c r="O32" s="45"/>
      <c r="P32" s="45"/>
      <c r="Q32" s="45"/>
      <c r="S32" s="47"/>
      <c r="T32" s="47"/>
      <c r="U32" s="47"/>
      <c r="V32" s="47"/>
      <c r="W32" s="47"/>
      <c r="X32" s="47"/>
      <c r="Y32" s="47"/>
      <c r="Z32" s="47"/>
      <c r="AB32" s="47"/>
      <c r="AC32" s="47"/>
      <c r="AD32" s="47"/>
      <c r="AE32" s="47"/>
      <c r="AF32" s="47"/>
      <c r="AG32" s="47"/>
      <c r="AH32" s="47"/>
      <c r="AI32" s="47"/>
      <c r="AK32" s="47"/>
      <c r="AL32" s="47"/>
      <c r="AM32" s="47"/>
      <c r="AN32" s="47"/>
      <c r="AO32" s="47"/>
      <c r="AP32" s="47"/>
      <c r="AQ32" s="47"/>
      <c r="AR32" s="47"/>
      <c r="AT32" s="47"/>
      <c r="AU32" s="47"/>
      <c r="AV32" s="47"/>
      <c r="AW32" s="47"/>
      <c r="AX32" s="47"/>
      <c r="AY32" s="47"/>
      <c r="AZ32" s="47"/>
      <c r="BA32" s="47"/>
      <c r="BC32" s="47">
        <f t="shared" si="26"/>
        <v>0</v>
      </c>
      <c r="BD32" s="47">
        <f t="shared" si="27"/>
        <v>0</v>
      </c>
      <c r="BE32" s="47">
        <f t="shared" si="28"/>
        <v>0</v>
      </c>
      <c r="BF32" s="47">
        <f t="shared" si="29"/>
        <v>0</v>
      </c>
      <c r="BG32" s="47">
        <f t="shared" si="30"/>
        <v>0</v>
      </c>
      <c r="BH32" s="47">
        <f t="shared" si="31"/>
        <v>0</v>
      </c>
      <c r="BI32" s="47">
        <f t="shared" si="32"/>
        <v>0</v>
      </c>
      <c r="BJ32" s="47">
        <f t="shared" si="33"/>
        <v>0</v>
      </c>
      <c r="BL32" s="375"/>
      <c r="BM32" s="375"/>
      <c r="BN32" s="375"/>
    </row>
    <row r="33" spans="2:67" x14ac:dyDescent="0.3">
      <c r="B33" s="7"/>
      <c r="C33" s="7"/>
      <c r="D33" s="7"/>
      <c r="E33" s="7"/>
      <c r="F33" s="7"/>
      <c r="G33" s="7"/>
      <c r="H33" s="7"/>
      <c r="I33" s="7"/>
      <c r="J33" s="45"/>
      <c r="K33" s="45"/>
      <c r="L33" s="45"/>
      <c r="M33" s="45"/>
      <c r="N33" s="45"/>
      <c r="O33" s="45"/>
      <c r="P33" s="45"/>
      <c r="Q33" s="45"/>
      <c r="S33" s="47"/>
      <c r="T33" s="47"/>
      <c r="U33" s="47"/>
      <c r="V33" s="47"/>
      <c r="W33" s="47"/>
      <c r="X33" s="47"/>
      <c r="Y33" s="47"/>
      <c r="Z33" s="47"/>
      <c r="AB33" s="47"/>
      <c r="AC33" s="47"/>
      <c r="AD33" s="47"/>
      <c r="AE33" s="47"/>
      <c r="AF33" s="47"/>
      <c r="AG33" s="47"/>
      <c r="AH33" s="47"/>
      <c r="AI33" s="47"/>
      <c r="AK33" s="47"/>
      <c r="AL33" s="47"/>
      <c r="AM33" s="47"/>
      <c r="AN33" s="47"/>
      <c r="AO33" s="47"/>
      <c r="AP33" s="47"/>
      <c r="AQ33" s="47"/>
      <c r="AR33" s="47"/>
      <c r="AT33" s="47"/>
      <c r="AU33" s="47"/>
      <c r="AV33" s="47"/>
      <c r="AW33" s="47"/>
      <c r="AX33" s="47"/>
      <c r="AY33" s="47"/>
      <c r="AZ33" s="47"/>
      <c r="BA33" s="47"/>
      <c r="BC33" s="47">
        <f t="shared" si="26"/>
        <v>0</v>
      </c>
      <c r="BD33" s="47">
        <f t="shared" si="27"/>
        <v>0</v>
      </c>
      <c r="BE33" s="47">
        <f t="shared" si="28"/>
        <v>0</v>
      </c>
      <c r="BF33" s="47">
        <f t="shared" si="29"/>
        <v>0</v>
      </c>
      <c r="BG33" s="47">
        <f t="shared" si="30"/>
        <v>0</v>
      </c>
      <c r="BH33" s="47">
        <f t="shared" si="31"/>
        <v>0</v>
      </c>
      <c r="BI33" s="47">
        <f t="shared" si="32"/>
        <v>0</v>
      </c>
      <c r="BJ33" s="47">
        <f t="shared" si="33"/>
        <v>0</v>
      </c>
      <c r="BL33" s="375"/>
      <c r="BM33" s="375"/>
      <c r="BN33" s="375"/>
    </row>
    <row r="34" spans="2:67" x14ac:dyDescent="0.3">
      <c r="B34" s="7"/>
      <c r="C34" s="7"/>
      <c r="D34" s="7"/>
      <c r="E34" s="7"/>
      <c r="F34" s="7"/>
      <c r="G34" s="7"/>
      <c r="H34" s="7"/>
      <c r="I34" s="7"/>
      <c r="J34" s="45"/>
      <c r="K34" s="45"/>
      <c r="L34" s="45"/>
      <c r="M34" s="45"/>
      <c r="N34" s="45"/>
      <c r="O34" s="45"/>
      <c r="P34" s="45"/>
      <c r="Q34" s="45"/>
      <c r="S34" s="47"/>
      <c r="T34" s="47"/>
      <c r="U34" s="47"/>
      <c r="V34" s="47"/>
      <c r="W34" s="47"/>
      <c r="X34" s="47"/>
      <c r="Y34" s="47"/>
      <c r="Z34" s="47"/>
      <c r="AB34" s="47"/>
      <c r="AC34" s="47"/>
      <c r="AD34" s="47"/>
      <c r="AE34" s="47"/>
      <c r="AF34" s="47"/>
      <c r="AG34" s="47"/>
      <c r="AH34" s="47"/>
      <c r="AI34" s="47"/>
      <c r="AK34" s="47"/>
      <c r="AL34" s="47"/>
      <c r="AM34" s="47"/>
      <c r="AN34" s="47"/>
      <c r="AO34" s="47"/>
      <c r="AP34" s="47"/>
      <c r="AQ34" s="47"/>
      <c r="AR34" s="47"/>
      <c r="AT34" s="47"/>
      <c r="AU34" s="47"/>
      <c r="AV34" s="47"/>
      <c r="AW34" s="47"/>
      <c r="AX34" s="47"/>
      <c r="AY34" s="47"/>
      <c r="AZ34" s="47"/>
      <c r="BA34" s="47"/>
      <c r="BC34" s="47">
        <f t="shared" si="26"/>
        <v>0</v>
      </c>
      <c r="BD34" s="47">
        <f t="shared" si="27"/>
        <v>0</v>
      </c>
      <c r="BE34" s="47">
        <f t="shared" si="28"/>
        <v>0</v>
      </c>
      <c r="BF34" s="47">
        <f t="shared" si="29"/>
        <v>0</v>
      </c>
      <c r="BG34" s="47">
        <f t="shared" si="30"/>
        <v>0</v>
      </c>
      <c r="BH34" s="47">
        <f t="shared" si="31"/>
        <v>0</v>
      </c>
      <c r="BI34" s="47">
        <f t="shared" si="32"/>
        <v>0</v>
      </c>
      <c r="BJ34" s="47">
        <f t="shared" si="33"/>
        <v>0</v>
      </c>
      <c r="BL34" s="375"/>
      <c r="BM34" s="375"/>
      <c r="BN34" s="375"/>
    </row>
    <row r="35" spans="2:67" x14ac:dyDescent="0.3">
      <c r="B35" s="7"/>
      <c r="C35" s="7"/>
      <c r="D35" s="7"/>
      <c r="E35" s="7"/>
      <c r="F35" s="7"/>
      <c r="G35" s="7"/>
      <c r="H35" s="7"/>
      <c r="I35" s="7"/>
      <c r="J35" s="45"/>
      <c r="K35" s="45"/>
      <c r="L35" s="45"/>
      <c r="M35" s="45"/>
      <c r="N35" s="45"/>
      <c r="O35" s="45"/>
      <c r="P35" s="45"/>
      <c r="Q35" s="45"/>
      <c r="S35" s="47"/>
      <c r="T35" s="47"/>
      <c r="U35" s="47"/>
      <c r="V35" s="47"/>
      <c r="W35" s="47"/>
      <c r="X35" s="47"/>
      <c r="Y35" s="47"/>
      <c r="Z35" s="47"/>
      <c r="AB35" s="47"/>
      <c r="AC35" s="47"/>
      <c r="AD35" s="47"/>
      <c r="AE35" s="47"/>
      <c r="AF35" s="47"/>
      <c r="AG35" s="47"/>
      <c r="AH35" s="47"/>
      <c r="AI35" s="47"/>
      <c r="AK35" s="47"/>
      <c r="AL35" s="47"/>
      <c r="AM35" s="47"/>
      <c r="AN35" s="47"/>
      <c r="AO35" s="47"/>
      <c r="AP35" s="47"/>
      <c r="AQ35" s="47"/>
      <c r="AR35" s="47"/>
      <c r="AT35" s="47"/>
      <c r="AU35" s="47"/>
      <c r="AV35" s="47"/>
      <c r="AW35" s="47"/>
      <c r="AX35" s="47"/>
      <c r="AY35" s="47"/>
      <c r="AZ35" s="47"/>
      <c r="BA35" s="47"/>
      <c r="BC35" s="47">
        <f t="shared" si="26"/>
        <v>0</v>
      </c>
      <c r="BD35" s="47">
        <f t="shared" si="27"/>
        <v>0</v>
      </c>
      <c r="BE35" s="47">
        <f t="shared" si="28"/>
        <v>0</v>
      </c>
      <c r="BF35" s="47">
        <f t="shared" si="29"/>
        <v>0</v>
      </c>
      <c r="BG35" s="47">
        <f t="shared" si="30"/>
        <v>0</v>
      </c>
      <c r="BH35" s="47">
        <f t="shared" si="31"/>
        <v>0</v>
      </c>
      <c r="BI35" s="47">
        <f t="shared" si="32"/>
        <v>0</v>
      </c>
      <c r="BJ35" s="47">
        <f t="shared" si="33"/>
        <v>0</v>
      </c>
      <c r="BL35" s="375"/>
      <c r="BM35" s="375"/>
      <c r="BN35" s="375"/>
    </row>
    <row r="36" spans="2:67" x14ac:dyDescent="0.3">
      <c r="B36" s="7"/>
      <c r="C36" s="7"/>
      <c r="D36" s="7"/>
      <c r="E36" s="7"/>
      <c r="F36" s="7"/>
      <c r="G36" s="7"/>
      <c r="H36" s="7"/>
      <c r="I36" s="7"/>
      <c r="J36" s="45"/>
      <c r="K36" s="45"/>
      <c r="L36" s="45"/>
      <c r="M36" s="45"/>
      <c r="N36" s="45"/>
      <c r="O36" s="45"/>
      <c r="P36" s="45"/>
      <c r="Q36" s="45"/>
      <c r="S36" s="47"/>
      <c r="T36" s="47"/>
      <c r="U36" s="47"/>
      <c r="V36" s="47"/>
      <c r="W36" s="47"/>
      <c r="X36" s="47"/>
      <c r="Y36" s="47"/>
      <c r="Z36" s="47"/>
      <c r="AB36" s="47"/>
      <c r="AC36" s="47"/>
      <c r="AD36" s="47"/>
      <c r="AE36" s="47"/>
      <c r="AF36" s="47"/>
      <c r="AG36" s="47"/>
      <c r="AH36" s="47"/>
      <c r="AI36" s="47"/>
      <c r="AK36" s="47"/>
      <c r="AL36" s="47"/>
      <c r="AM36" s="47"/>
      <c r="AN36" s="47"/>
      <c r="AO36" s="47"/>
      <c r="AP36" s="47"/>
      <c r="AQ36" s="47"/>
      <c r="AR36" s="47"/>
      <c r="AT36" s="47"/>
      <c r="AU36" s="47"/>
      <c r="AV36" s="47"/>
      <c r="AW36" s="47"/>
      <c r="AX36" s="47"/>
      <c r="AY36" s="47"/>
      <c r="AZ36" s="47"/>
      <c r="BA36" s="47"/>
      <c r="BC36" s="47">
        <f t="shared" si="26"/>
        <v>0</v>
      </c>
      <c r="BD36" s="47">
        <f t="shared" si="27"/>
        <v>0</v>
      </c>
      <c r="BE36" s="47">
        <f t="shared" si="28"/>
        <v>0</v>
      </c>
      <c r="BF36" s="47">
        <f t="shared" si="29"/>
        <v>0</v>
      </c>
      <c r="BG36" s="47">
        <f t="shared" si="30"/>
        <v>0</v>
      </c>
      <c r="BH36" s="47">
        <f t="shared" si="31"/>
        <v>0</v>
      </c>
      <c r="BI36" s="47">
        <f t="shared" si="32"/>
        <v>0</v>
      </c>
      <c r="BJ36" s="47">
        <f t="shared" si="33"/>
        <v>0</v>
      </c>
      <c r="BL36" s="375"/>
      <c r="BM36" s="375"/>
      <c r="BN36" s="375"/>
    </row>
    <row r="37" spans="2:67" x14ac:dyDescent="0.3">
      <c r="J37" s="49">
        <f t="shared" ref="J37:BN37" si="34">SUM(J6:J36)</f>
        <v>12426.479050820486</v>
      </c>
      <c r="K37" s="49">
        <f t="shared" si="34"/>
        <v>12842.861846416801</v>
      </c>
      <c r="L37" s="49">
        <f t="shared" si="34"/>
        <v>10803.739309676608</v>
      </c>
      <c r="M37" s="49">
        <f t="shared" si="34"/>
        <v>17003.289613137254</v>
      </c>
      <c r="N37" s="49">
        <f t="shared" si="34"/>
        <v>7076.22694120915</v>
      </c>
      <c r="O37" s="49">
        <f t="shared" si="34"/>
        <v>3536.4668781045748</v>
      </c>
      <c r="P37" s="49">
        <f t="shared" si="34"/>
        <v>3034.9151490522868</v>
      </c>
      <c r="Q37" s="49">
        <f t="shared" si="34"/>
        <v>3652.9615123202607</v>
      </c>
      <c r="S37" s="48">
        <f t="shared" si="34"/>
        <v>2264.4254561819548</v>
      </c>
      <c r="T37" s="48">
        <f t="shared" si="34"/>
        <v>2362.6574838565998</v>
      </c>
      <c r="U37" s="48">
        <f t="shared" si="34"/>
        <v>2069.9632349291624</v>
      </c>
      <c r="V37" s="48">
        <f t="shared" si="34"/>
        <v>3266.5889517576306</v>
      </c>
      <c r="W37" s="48">
        <f t="shared" si="34"/>
        <v>1367.5918842296239</v>
      </c>
      <c r="X37" s="48">
        <f t="shared" si="34"/>
        <v>703.52239802418785</v>
      </c>
      <c r="Y37" s="48">
        <f t="shared" si="34"/>
        <v>614.81072524472984</v>
      </c>
      <c r="Z37" s="48">
        <f t="shared" si="34"/>
        <v>740.20006085467605</v>
      </c>
      <c r="AB37" s="48">
        <f t="shared" si="34"/>
        <v>4280.1134907634578</v>
      </c>
      <c r="AC37" s="48">
        <f t="shared" si="34"/>
        <v>4423.5302714513</v>
      </c>
      <c r="AD37" s="48">
        <f t="shared" si="34"/>
        <v>7260.2613970899911</v>
      </c>
      <c r="AE37" s="48">
        <f t="shared" si="34"/>
        <v>9765.8663196995221</v>
      </c>
      <c r="AF37" s="48">
        <f t="shared" si="34"/>
        <v>4008.4030778940833</v>
      </c>
      <c r="AG37" s="48">
        <f t="shared" si="34"/>
        <v>2579.793480957665</v>
      </c>
      <c r="AH37" s="48">
        <f t="shared" si="34"/>
        <v>2457.5312707323524</v>
      </c>
      <c r="AI37" s="48">
        <f t="shared" si="34"/>
        <v>2674.1541346723707</v>
      </c>
      <c r="AK37" s="48">
        <f t="shared" si="34"/>
        <v>5955.4610530545879</v>
      </c>
      <c r="AL37" s="48">
        <f t="shared" si="34"/>
        <v>6213.8122446921006</v>
      </c>
      <c r="AM37" s="48">
        <f t="shared" si="34"/>
        <v>1555.8130133730067</v>
      </c>
      <c r="AN37" s="48">
        <f t="shared" si="34"/>
        <v>4209.7801985715014</v>
      </c>
      <c r="AO37" s="48">
        <f t="shared" si="34"/>
        <v>1834.0327433424727</v>
      </c>
      <c r="AP37" s="48">
        <f t="shared" si="34"/>
        <v>305.62221002009221</v>
      </c>
      <c r="AQ37" s="48">
        <f t="shared" si="34"/>
        <v>0</v>
      </c>
      <c r="AR37" s="48">
        <f t="shared" si="34"/>
        <v>311.22685238344826</v>
      </c>
      <c r="AT37" s="48">
        <f t="shared" si="34"/>
        <v>0</v>
      </c>
      <c r="AU37" s="48">
        <f t="shared" si="34"/>
        <v>0</v>
      </c>
      <c r="AV37" s="48">
        <f t="shared" si="34"/>
        <v>0</v>
      </c>
      <c r="AW37" s="48">
        <f t="shared" si="34"/>
        <v>0</v>
      </c>
      <c r="AX37" s="48">
        <f t="shared" si="34"/>
        <v>0</v>
      </c>
      <c r="AY37" s="48">
        <f t="shared" si="34"/>
        <v>0</v>
      </c>
      <c r="AZ37" s="48">
        <f t="shared" si="34"/>
        <v>0</v>
      </c>
      <c r="BA37" s="48">
        <f t="shared" si="34"/>
        <v>0</v>
      </c>
      <c r="BC37" s="48">
        <f t="shared" si="34"/>
        <v>12500</v>
      </c>
      <c r="BD37" s="48">
        <f t="shared" si="34"/>
        <v>13000</v>
      </c>
      <c r="BE37" s="48">
        <f t="shared" si="34"/>
        <v>10886.03764539216</v>
      </c>
      <c r="BF37" s="48">
        <f t="shared" si="34"/>
        <v>17242.235470028656</v>
      </c>
      <c r="BG37" s="48">
        <f t="shared" si="34"/>
        <v>7210.0277054661801</v>
      </c>
      <c r="BH37" s="48">
        <f t="shared" si="34"/>
        <v>3588.9380890019447</v>
      </c>
      <c r="BI37" s="48">
        <f t="shared" si="34"/>
        <v>3072.3419959770827</v>
      </c>
      <c r="BJ37" s="48">
        <f t="shared" si="34"/>
        <v>3725.5810479104944</v>
      </c>
      <c r="BL37" s="48">
        <f t="shared" si="34"/>
        <v>13383.272427123755</v>
      </c>
      <c r="BM37" s="48">
        <f t="shared" si="34"/>
        <v>14082.847852648471</v>
      </c>
      <c r="BN37" s="48">
        <f t="shared" si="34"/>
        <v>12418.7669415072</v>
      </c>
    </row>
    <row r="38" spans="2:67" x14ac:dyDescent="0.3">
      <c r="BC38" s="85">
        <f t="shared" ref="BC38:BJ38" si="35">IF(ISERROR((BC37-J37)/J37),0,(BC37-J37)/J37)</f>
        <v>5.9164747213459159E-3</v>
      </c>
      <c r="BD38" s="85">
        <f t="shared" si="35"/>
        <v>1.2235446854630834E-2</v>
      </c>
      <c r="BE38" s="85">
        <f t="shared" si="35"/>
        <v>7.6175788175339813E-3</v>
      </c>
      <c r="BF38" s="85">
        <f t="shared" si="35"/>
        <v>1.4052919307260679E-2</v>
      </c>
      <c r="BG38" s="85">
        <f t="shared" si="35"/>
        <v>1.8908489703436067E-2</v>
      </c>
      <c r="BH38" s="85">
        <f t="shared" si="35"/>
        <v>1.4837184315859534E-2</v>
      </c>
      <c r="BI38" s="85">
        <f t="shared" si="35"/>
        <v>1.2332090054143085E-2</v>
      </c>
      <c r="BJ38" s="85">
        <f t="shared" si="35"/>
        <v>1.9879633372897967E-2</v>
      </c>
      <c r="BL38" s="645">
        <v>0</v>
      </c>
      <c r="BM38" s="645">
        <v>0</v>
      </c>
      <c r="BN38" s="130">
        <v>0</v>
      </c>
      <c r="BO38" s="55"/>
    </row>
    <row r="39" spans="2:67" x14ac:dyDescent="0.3">
      <c r="L39" s="336">
        <v>44377</v>
      </c>
      <c r="M39" s="336">
        <v>44742</v>
      </c>
      <c r="N39" s="336">
        <v>45107</v>
      </c>
      <c r="O39" s="336">
        <v>45473</v>
      </c>
      <c r="P39" s="336">
        <v>45838</v>
      </c>
      <c r="Q39" s="336">
        <v>46203</v>
      </c>
      <c r="BC39" s="85"/>
      <c r="BD39" s="85"/>
      <c r="BE39" s="85"/>
      <c r="BF39" s="85"/>
      <c r="BG39" s="85"/>
      <c r="BH39" s="85"/>
      <c r="BI39" s="85"/>
      <c r="BJ39" s="85"/>
    </row>
    <row r="40" spans="2:67" x14ac:dyDescent="0.3">
      <c r="D40" s="1" t="s">
        <v>786</v>
      </c>
      <c r="K40" s="79"/>
      <c r="L40" s="39">
        <f>L13+L17+L18</f>
        <v>0</v>
      </c>
      <c r="M40" s="39">
        <f>M13+M17+M18</f>
        <v>5491</v>
      </c>
      <c r="N40" s="39">
        <f t="shared" ref="N40:Q40" si="36">N13+N17+N18</f>
        <v>3705.5</v>
      </c>
      <c r="O40" s="39">
        <f t="shared" si="36"/>
        <v>665.5</v>
      </c>
      <c r="P40" s="39">
        <f t="shared" si="36"/>
        <v>5.5</v>
      </c>
      <c r="Q40" s="39">
        <f t="shared" si="36"/>
        <v>685</v>
      </c>
      <c r="BF40" s="39">
        <f t="shared" ref="BF40:BJ40" si="37">BF13+BF17+BF18</f>
        <v>5557.4157778734952</v>
      </c>
      <c r="BG40" s="39">
        <f t="shared" si="37"/>
        <v>3811.3358405344397</v>
      </c>
      <c r="BH40" s="39">
        <f t="shared" si="37"/>
        <v>688.01161955060081</v>
      </c>
      <c r="BI40" s="39">
        <f t="shared" si="37"/>
        <v>5.5677383912245979</v>
      </c>
      <c r="BJ40" s="39">
        <f t="shared" si="37"/>
        <v>715.726163047044</v>
      </c>
    </row>
    <row r="41" spans="2:67" x14ac:dyDescent="0.3">
      <c r="Q41" s="39">
        <f>SUM(M40:Q40)</f>
        <v>10552.5</v>
      </c>
    </row>
    <row r="42" spans="2:67" x14ac:dyDescent="0.3">
      <c r="M42" s="313"/>
      <c r="N42" s="313"/>
      <c r="O42" s="313"/>
      <c r="P42" s="313"/>
      <c r="Q42" s="313"/>
    </row>
    <row r="43" spans="2:67" x14ac:dyDescent="0.3">
      <c r="M43" s="330"/>
      <c r="N43" s="313"/>
      <c r="O43" s="313"/>
      <c r="P43" s="313"/>
      <c r="Q43" s="313"/>
    </row>
    <row r="44" spans="2:67" x14ac:dyDescent="0.3">
      <c r="M44" s="330"/>
      <c r="N44" s="313"/>
      <c r="O44" s="313"/>
      <c r="P44" s="313"/>
      <c r="Q44" s="313"/>
    </row>
    <row r="45" spans="2:67" x14ac:dyDescent="0.3">
      <c r="M45" s="330"/>
      <c r="N45" s="158"/>
      <c r="O45" s="158"/>
      <c r="P45" s="158"/>
      <c r="Q45" s="158"/>
    </row>
    <row r="46" spans="2:67" x14ac:dyDescent="0.3">
      <c r="K46" s="79"/>
      <c r="L46" s="79"/>
      <c r="M46" s="331"/>
      <c r="N46" s="275"/>
      <c r="O46" s="275"/>
      <c r="P46" s="275"/>
      <c r="Q46" s="275"/>
    </row>
    <row r="47" spans="2:67" x14ac:dyDescent="0.3">
      <c r="M47" s="79"/>
      <c r="N47" s="158"/>
    </row>
    <row r="48" spans="2:67" x14ac:dyDescent="0.3">
      <c r="J48" s="314"/>
      <c r="K48" s="314"/>
      <c r="L48" s="328"/>
      <c r="M48" s="79"/>
      <c r="N48" s="158"/>
    </row>
    <row r="49" spans="10:19" x14ac:dyDescent="0.3">
      <c r="J49" s="219"/>
      <c r="K49" s="219"/>
      <c r="L49" s="219"/>
      <c r="M49" s="79"/>
      <c r="N49" s="158"/>
    </row>
    <row r="50" spans="10:19" x14ac:dyDescent="0.3">
      <c r="J50" s="219"/>
      <c r="K50" s="219"/>
      <c r="L50" s="219"/>
      <c r="M50" s="79"/>
      <c r="N50" s="158"/>
    </row>
    <row r="51" spans="10:19" x14ac:dyDescent="0.3">
      <c r="J51" s="219"/>
      <c r="K51" s="219"/>
      <c r="L51" s="219"/>
      <c r="M51" s="79"/>
      <c r="N51" s="158"/>
    </row>
    <row r="56" spans="10:19" x14ac:dyDescent="0.3">
      <c r="J56" s="39"/>
      <c r="K56" s="39"/>
      <c r="L56" s="39"/>
      <c r="M56" s="39"/>
      <c r="N56" s="39"/>
      <c r="S56" s="39"/>
    </row>
  </sheetData>
  <mergeCells count="13">
    <mergeCell ref="BL4:BN4"/>
    <mergeCell ref="BC4:BJ4"/>
    <mergeCell ref="J3:Q3"/>
    <mergeCell ref="S3:Z3"/>
    <mergeCell ref="AB3:AI3"/>
    <mergeCell ref="AK3:AR3"/>
    <mergeCell ref="AT3:BA3"/>
    <mergeCell ref="BC3:BJ3"/>
    <mergeCell ref="J4:Q4"/>
    <mergeCell ref="S4:Z4"/>
    <mergeCell ref="AB4:AI4"/>
    <mergeCell ref="AK4:AR4"/>
    <mergeCell ref="AT4:BA4"/>
  </mergeCells>
  <hyperlinks>
    <hyperlink ref="B2" location="Contents!A1" display="Table of Contents" xr:uid="{00000000-0004-0000-1300-000000000000}"/>
  </hyperlinks>
  <pageMargins left="0.7" right="0.7" top="0.75" bottom="0.75" header="0.3" footer="0.3"/>
  <pageSetup paperSize="9" orientation="portrait" horizontalDpi="4294967292" verticalDpi="4294967292" r:id="rId1"/>
  <extLst>
    <ext xmlns:x14="http://schemas.microsoft.com/office/spreadsheetml/2009/9/main" uri="{CCE6A557-97BC-4b89-ADB6-D9C93CAAB3DF}">
      <x14:dataValidations xmlns:xm="http://schemas.microsoft.com/office/excel/2006/main" count="5">
        <x14:dataValidation type="list" errorStyle="warning" showInputMessage="1" showErrorMessage="1" error="Invalid data entered" prompt="Select from drop down list" xr:uid="{00000000-0002-0000-1300-000000000000}">
          <x14:formula1>
            <xm:f>Lookups!$I$5:$I$8</xm:f>
          </x14:formula1>
          <xm:sqref>G6:G36</xm:sqref>
        </x14:dataValidation>
        <x14:dataValidation type="list" allowBlank="1" showInputMessage="1" showErrorMessage="1" prompt="Select from drop down list" xr:uid="{00000000-0002-0000-1300-000001000000}">
          <x14:formula1>
            <xm:f>Lookups!$I$15:$I$26</xm:f>
          </x14:formula1>
          <xm:sqref>I6:I36</xm:sqref>
        </x14:dataValidation>
        <x14:dataValidation type="list" errorStyle="warning" showInputMessage="1" showErrorMessage="1" error="Invalid data entered" prompt="Select from drop down list" xr:uid="{00000000-0002-0000-1300-000002000000}">
          <x14:formula1>
            <xm:f>Lookups!$C$16:$C$27</xm:f>
          </x14:formula1>
          <xm:sqref>F6:F36</xm:sqref>
        </x14:dataValidation>
        <x14:dataValidation type="list" errorStyle="warning" showInputMessage="1" showErrorMessage="1" error="Invalid data entered" prompt="Select from drop down list" xr:uid="{00000000-0002-0000-1300-000003000000}">
          <x14:formula1>
            <xm:f>Lookups!$C$5:$C$13</xm:f>
          </x14:formula1>
          <xm:sqref>E6:E36</xm:sqref>
        </x14:dataValidation>
        <x14:dataValidation type="list" allowBlank="1" showInputMessage="1" showErrorMessage="1" prompt="Select from drop down list" xr:uid="{00000000-0002-0000-1300-000004000000}">
          <x14:formula1>
            <xm:f>Lab_Mat!$C$23:$C$28</xm:f>
          </x14:formula1>
          <xm:sqref>H6:H36</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dimension ref="B1:BN41"/>
  <sheetViews>
    <sheetView zoomScale="70" zoomScaleNormal="70" zoomScalePageLayoutView="125" workbookViewId="0">
      <pane xSplit="7" topLeftCell="AR1" activePane="topRight" state="frozen"/>
      <selection activeCell="J28" sqref="J28"/>
      <selection pane="topRight" activeCell="BB14" sqref="BB14"/>
    </sheetView>
  </sheetViews>
  <sheetFormatPr defaultColWidth="8.88671875" defaultRowHeight="14.4" outlineLevelCol="1" x14ac:dyDescent="0.3"/>
  <cols>
    <col min="1" max="1" width="4" style="1" customWidth="1"/>
    <col min="2" max="2" width="16" style="1" customWidth="1"/>
    <col min="3" max="3" width="41" style="1" customWidth="1"/>
    <col min="4" max="4" width="10.33203125" style="1" customWidth="1"/>
    <col min="5" max="5" width="33.33203125" style="1" hidden="1" customWidth="1" outlineLevel="1"/>
    <col min="6" max="6" width="33.44140625" style="1" hidden="1" customWidth="1" outlineLevel="1"/>
    <col min="7" max="7" width="21.109375" style="1" hidden="1" customWidth="1" outlineLevel="1"/>
    <col min="8" max="8" width="27.109375" style="1" hidden="1" customWidth="1" outlineLevel="1"/>
    <col min="9" max="9" width="9.44140625" style="1" customWidth="1" collapsed="1"/>
    <col min="10" max="16" width="9.44140625" style="1" customWidth="1"/>
    <col min="17" max="17" width="2.88671875" style="1" customWidth="1"/>
    <col min="18" max="25" width="8.88671875" style="1"/>
    <col min="26" max="26" width="2.88671875" style="1" customWidth="1"/>
    <col min="27" max="34" width="8.88671875" style="1"/>
    <col min="35" max="35" width="2.44140625" style="1" customWidth="1"/>
    <col min="36" max="43" width="8.88671875" style="1"/>
    <col min="44" max="44" width="2.88671875" style="1" customWidth="1"/>
    <col min="45" max="52" width="8.88671875" style="1"/>
    <col min="53" max="53" width="2.88671875" style="1" customWidth="1"/>
    <col min="54" max="61" width="8.88671875" style="1"/>
    <col min="62" max="62" width="2.109375" style="1" customWidth="1"/>
    <col min="63" max="63" width="10.6640625" style="1" customWidth="1"/>
    <col min="64" max="65" width="10" style="1" bestFit="1" customWidth="1"/>
    <col min="66" max="66" width="39" style="1" bestFit="1" customWidth="1"/>
    <col min="67" max="16384" width="8.88671875" style="1"/>
  </cols>
  <sheetData>
    <row r="1" spans="2:66" ht="18" x14ac:dyDescent="0.35">
      <c r="B1" s="10" t="s">
        <v>14</v>
      </c>
      <c r="K1" s="582"/>
      <c r="L1" s="582"/>
    </row>
    <row r="2" spans="2:66" x14ac:dyDescent="0.3">
      <c r="B2" s="25" t="s">
        <v>6</v>
      </c>
      <c r="AA2" s="89"/>
      <c r="AB2" s="89"/>
      <c r="AC2" s="89"/>
    </row>
    <row r="3" spans="2:66" x14ac:dyDescent="0.3">
      <c r="I3" s="592"/>
      <c r="J3" s="592"/>
      <c r="K3" s="592"/>
      <c r="L3" s="592"/>
      <c r="M3" s="592"/>
      <c r="N3" s="592"/>
      <c r="O3" s="592"/>
      <c r="P3" s="592"/>
      <c r="R3" s="592"/>
      <c r="S3" s="592"/>
      <c r="T3" s="592"/>
      <c r="U3" s="592"/>
      <c r="V3" s="592"/>
      <c r="W3" s="592"/>
      <c r="X3" s="592"/>
      <c r="Y3" s="592"/>
      <c r="AA3" s="592"/>
      <c r="AB3" s="592"/>
      <c r="AC3" s="592"/>
      <c r="AD3" s="592"/>
      <c r="AE3" s="592"/>
      <c r="AF3" s="592"/>
      <c r="AG3" s="592"/>
      <c r="AH3" s="592"/>
      <c r="AJ3" s="592"/>
      <c r="AK3" s="592"/>
      <c r="AL3" s="592"/>
      <c r="AM3" s="592"/>
      <c r="AN3" s="592"/>
      <c r="AO3" s="592"/>
      <c r="AP3" s="592"/>
      <c r="AQ3" s="592"/>
      <c r="AS3" s="592"/>
      <c r="AT3" s="592"/>
      <c r="AU3" s="592"/>
      <c r="AV3" s="592"/>
      <c r="AW3" s="592"/>
      <c r="AX3" s="592"/>
      <c r="AY3" s="592"/>
      <c r="AZ3" s="592"/>
      <c r="BB3" s="592"/>
      <c r="BC3" s="592"/>
      <c r="BD3" s="592"/>
      <c r="BE3" s="592"/>
      <c r="BF3" s="592"/>
      <c r="BG3" s="592"/>
      <c r="BH3" s="592"/>
      <c r="BI3" s="592"/>
    </row>
    <row r="4" spans="2:66" ht="30.6" customHeight="1" x14ac:dyDescent="0.3">
      <c r="I4" s="589" t="s">
        <v>378</v>
      </c>
      <c r="J4" s="590"/>
      <c r="K4" s="590"/>
      <c r="L4" s="590"/>
      <c r="M4" s="590"/>
      <c r="N4" s="590"/>
      <c r="O4" s="590"/>
      <c r="P4" s="591"/>
      <c r="R4" s="589" t="s">
        <v>174</v>
      </c>
      <c r="S4" s="590"/>
      <c r="T4" s="590"/>
      <c r="U4" s="590"/>
      <c r="V4" s="590"/>
      <c r="W4" s="590"/>
      <c r="X4" s="590"/>
      <c r="Y4" s="591"/>
      <c r="AA4" s="589" t="s">
        <v>173</v>
      </c>
      <c r="AB4" s="590"/>
      <c r="AC4" s="590"/>
      <c r="AD4" s="590"/>
      <c r="AE4" s="590"/>
      <c r="AF4" s="590"/>
      <c r="AG4" s="590"/>
      <c r="AH4" s="591"/>
      <c r="AJ4" s="589" t="s">
        <v>297</v>
      </c>
      <c r="AK4" s="590"/>
      <c r="AL4" s="590"/>
      <c r="AM4" s="590"/>
      <c r="AN4" s="590"/>
      <c r="AO4" s="590"/>
      <c r="AP4" s="590"/>
      <c r="AQ4" s="591"/>
      <c r="AS4" s="589" t="s">
        <v>175</v>
      </c>
      <c r="AT4" s="590"/>
      <c r="AU4" s="590"/>
      <c r="AV4" s="590"/>
      <c r="AW4" s="590"/>
      <c r="AX4" s="590"/>
      <c r="AY4" s="590"/>
      <c r="AZ4" s="591"/>
      <c r="BB4" s="589" t="s">
        <v>379</v>
      </c>
      <c r="BC4" s="590"/>
      <c r="BD4" s="590"/>
      <c r="BE4" s="590"/>
      <c r="BF4" s="590"/>
      <c r="BG4" s="590"/>
      <c r="BH4" s="590"/>
      <c r="BI4" s="591"/>
      <c r="BK4" s="589" t="s">
        <v>788</v>
      </c>
      <c r="BL4" s="590"/>
      <c r="BM4" s="591"/>
    </row>
    <row r="5" spans="2:66" ht="16.2" customHeight="1" x14ac:dyDescent="0.3">
      <c r="B5" s="8" t="s">
        <v>23</v>
      </c>
      <c r="C5" s="8" t="s">
        <v>24</v>
      </c>
      <c r="D5" s="17" t="s">
        <v>98</v>
      </c>
      <c r="E5" s="17" t="s">
        <v>76</v>
      </c>
      <c r="F5" s="17" t="s">
        <v>77</v>
      </c>
      <c r="G5" s="17" t="s">
        <v>212</v>
      </c>
      <c r="H5" s="17" t="s">
        <v>359</v>
      </c>
      <c r="I5" s="335">
        <f>CP_Yr_4</f>
        <v>43800</v>
      </c>
      <c r="J5" s="335">
        <f>CP_Yr_5</f>
        <v>44166</v>
      </c>
      <c r="K5" s="335">
        <f>Stub</f>
        <v>44377</v>
      </c>
      <c r="L5" s="335">
        <f>Yr_1</f>
        <v>44742</v>
      </c>
      <c r="M5" s="335">
        <f>Yr_2</f>
        <v>45107</v>
      </c>
      <c r="N5" s="335">
        <f>Yr_3</f>
        <v>45473</v>
      </c>
      <c r="O5" s="335">
        <f>Yr_4</f>
        <v>45838</v>
      </c>
      <c r="P5" s="335">
        <f>Yr_5</f>
        <v>46203</v>
      </c>
      <c r="Q5" s="336"/>
      <c r="R5" s="335">
        <f>CP_Yr_4</f>
        <v>43800</v>
      </c>
      <c r="S5" s="335">
        <f>CP_Yr_5</f>
        <v>44166</v>
      </c>
      <c r="T5" s="335">
        <f>Stub</f>
        <v>44377</v>
      </c>
      <c r="U5" s="335">
        <f>Yr_1</f>
        <v>44742</v>
      </c>
      <c r="V5" s="335">
        <f>Yr_2</f>
        <v>45107</v>
      </c>
      <c r="W5" s="335">
        <f>Yr_3</f>
        <v>45473</v>
      </c>
      <c r="X5" s="335">
        <f>Yr_4</f>
        <v>45838</v>
      </c>
      <c r="Y5" s="335">
        <f>Yr_5</f>
        <v>46203</v>
      </c>
      <c r="Z5" s="336"/>
      <c r="AA5" s="335">
        <f>CP_Yr_4</f>
        <v>43800</v>
      </c>
      <c r="AB5" s="335">
        <f>CP_Yr_5</f>
        <v>44166</v>
      </c>
      <c r="AC5" s="335">
        <f>Stub</f>
        <v>44377</v>
      </c>
      <c r="AD5" s="335">
        <f>Yr_1</f>
        <v>44742</v>
      </c>
      <c r="AE5" s="335">
        <f>Yr_2</f>
        <v>45107</v>
      </c>
      <c r="AF5" s="335">
        <f>Yr_3</f>
        <v>45473</v>
      </c>
      <c r="AG5" s="335">
        <f>Yr_4</f>
        <v>45838</v>
      </c>
      <c r="AH5" s="335">
        <f>Yr_5</f>
        <v>46203</v>
      </c>
      <c r="AI5" s="336"/>
      <c r="AJ5" s="335">
        <f>CP_Yr_4</f>
        <v>43800</v>
      </c>
      <c r="AK5" s="335">
        <f>CP_Yr_5</f>
        <v>44166</v>
      </c>
      <c r="AL5" s="335">
        <f>Stub</f>
        <v>44377</v>
      </c>
      <c r="AM5" s="335">
        <f>Yr_1</f>
        <v>44742</v>
      </c>
      <c r="AN5" s="335">
        <f>Yr_2</f>
        <v>45107</v>
      </c>
      <c r="AO5" s="335">
        <f>Yr_3</f>
        <v>45473</v>
      </c>
      <c r="AP5" s="335">
        <f>Yr_4</f>
        <v>45838</v>
      </c>
      <c r="AQ5" s="335">
        <f>Yr_5</f>
        <v>46203</v>
      </c>
      <c r="AR5" s="336"/>
      <c r="AS5" s="335">
        <f>CP_Yr_4</f>
        <v>43800</v>
      </c>
      <c r="AT5" s="335">
        <f>CP_Yr_5</f>
        <v>44166</v>
      </c>
      <c r="AU5" s="335">
        <f>Stub</f>
        <v>44377</v>
      </c>
      <c r="AV5" s="335">
        <f>Yr_1</f>
        <v>44742</v>
      </c>
      <c r="AW5" s="335">
        <f>Yr_2</f>
        <v>45107</v>
      </c>
      <c r="AX5" s="335">
        <f>Yr_3</f>
        <v>45473</v>
      </c>
      <c r="AY5" s="335">
        <f>Yr_4</f>
        <v>45838</v>
      </c>
      <c r="AZ5" s="335">
        <f>Yr_5</f>
        <v>46203</v>
      </c>
      <c r="BA5" s="336"/>
      <c r="BB5" s="335">
        <f>CP_Yr_4</f>
        <v>43800</v>
      </c>
      <c r="BC5" s="335">
        <f>CP_Yr_5</f>
        <v>44166</v>
      </c>
      <c r="BD5" s="335">
        <f>Stub</f>
        <v>44377</v>
      </c>
      <c r="BE5" s="335">
        <f>Yr_1</f>
        <v>44742</v>
      </c>
      <c r="BF5" s="335">
        <f>Yr_2</f>
        <v>45107</v>
      </c>
      <c r="BG5" s="335">
        <f>Yr_3</f>
        <v>45473</v>
      </c>
      <c r="BH5" s="335">
        <f>Yr_4</f>
        <v>45838</v>
      </c>
      <c r="BI5" s="335">
        <f>Yr_5</f>
        <v>46203</v>
      </c>
      <c r="BK5" s="335">
        <f>CP_Yr_4</f>
        <v>43800</v>
      </c>
      <c r="BL5" s="335">
        <f>CP_Yr_5</f>
        <v>44166</v>
      </c>
      <c r="BM5" s="335">
        <f>Stub</f>
        <v>44377</v>
      </c>
      <c r="BN5" s="640" t="s">
        <v>792</v>
      </c>
    </row>
    <row r="6" spans="2:66" x14ac:dyDescent="0.3">
      <c r="B6" s="7"/>
      <c r="C6" s="7" t="s">
        <v>280</v>
      </c>
      <c r="D6" s="7"/>
      <c r="E6" s="7" t="s">
        <v>50</v>
      </c>
      <c r="F6" s="7" t="s">
        <v>50</v>
      </c>
      <c r="G6" s="7" t="s">
        <v>162</v>
      </c>
      <c r="H6" s="7" t="s">
        <v>334</v>
      </c>
      <c r="I6" s="45">
        <v>1775.8197500000001</v>
      </c>
      <c r="J6" s="45">
        <v>1479.7170000000001</v>
      </c>
      <c r="K6" s="45">
        <v>1362.7707</v>
      </c>
      <c r="L6" s="45">
        <v>2635.6223999999993</v>
      </c>
      <c r="M6" s="45">
        <v>2500.0443859999996</v>
      </c>
      <c r="N6" s="45">
        <v>3251.6499859999999</v>
      </c>
      <c r="O6" s="45">
        <v>4696.087638</v>
      </c>
      <c r="P6" s="45">
        <v>5343.2606759999999</v>
      </c>
      <c r="R6" s="47">
        <f>INDEX(Direct_Cost_Splits_Non_Ntwk,MATCH($G6,RIN_Asset_Cat_Non_Ntwk,0),MATCH($R$4,Direct_Cost_Type,0))*I6*HLOOKUP(R$5,Escalators!$I$25:$U$30,3,FALSE)</f>
        <v>0.13546762684688063</v>
      </c>
      <c r="S6" s="47">
        <f>INDEX(Direct_Cost_Splits_Non_Ntwk,MATCH($G6,RIN_Asset_Cat_Non_Ntwk,0),MATCH($R$4,Direct_Cost_Type,0))*J6*HLOOKUP(S$5,Escalators!$I$25:$U$30,3,FALSE)</f>
        <v>0.11395787003472314</v>
      </c>
      <c r="T6" s="47">
        <f>INDEX(Direct_Cost_Splits_Non_Ntwk,MATCH($G6,RIN_Asset_Cat_Non_Ntwk,0),MATCH($R$4,Direct_Cost_Type,0))*K6*HLOOKUP(T$5,Escalators!$I$25:$U$30,3,FALSE)</f>
        <v>0.10542139811577747</v>
      </c>
      <c r="U6" s="47">
        <f>INDEX(Direct_Cost_Splits_Non_Ntwk,MATCH($G6,RIN_Asset_Cat_Non_Ntwk,0),MATCH($R$4,Direct_Cost_Type,0))*L6*HLOOKUP(U$5,Escalators!$I$25:$U$30,3,FALSE)</f>
        <v>0.20583758001036784</v>
      </c>
      <c r="V6" s="47">
        <f>INDEX(Direct_Cost_Splits_Non_Ntwk,MATCH($G6,RIN_Asset_Cat_Non_Ntwk,0),MATCH($R$4,Direct_Cost_Type,0))*M6*HLOOKUP(V$5,Escalators!$I$25:$U$30,3,FALSE)</f>
        <v>0.19725245827848548</v>
      </c>
      <c r="W6" s="47">
        <f>INDEX(Direct_Cost_Splits_Non_Ntwk,MATCH($G6,RIN_Asset_Cat_Non_Ntwk,0),MATCH($R$4,Direct_Cost_Type,0))*N6*HLOOKUP(W$5,Escalators!$I$25:$U$30,3,FALSE)</f>
        <v>0.25931534218940272</v>
      </c>
      <c r="X6" s="47">
        <f>INDEX(Direct_Cost_Splits_Non_Ntwk,MATCH($G6,RIN_Asset_Cat_Non_Ntwk,0),MATCH($R$4,Direct_Cost_Type,0))*O6*HLOOKUP(X$5,Escalators!$I$25:$U$30,3,FALSE)</f>
        <v>0.37804864797756899</v>
      </c>
      <c r="Y6" s="47">
        <f>INDEX(Direct_Cost_Splits_Non_Ntwk,MATCH($G6,RIN_Asset_Cat_Non_Ntwk,0),MATCH($R$4,Direct_Cost_Type,0))*P6*HLOOKUP(Y$5,Escalators!$I$25:$U$30,3,FALSE)</f>
        <v>0.4339332527865023</v>
      </c>
      <c r="AA6" s="47">
        <f t="shared" ref="AA6:AH12" si="0">INDEX(Direct_Cost_Splits_Non_Ntwk,MATCH($G6,RIN_Asset_Cat_Non_Ntwk,0),MATCH($AA$4,Direct_Cost_Type,0))*I6</f>
        <v>554.67454223084474</v>
      </c>
      <c r="AB6" s="47">
        <f t="shared" si="0"/>
        <v>462.18730792142549</v>
      </c>
      <c r="AC6" s="47">
        <f t="shared" si="0"/>
        <v>425.65931265721525</v>
      </c>
      <c r="AD6" s="47">
        <f t="shared" si="0"/>
        <v>823.23256524957549</v>
      </c>
      <c r="AE6" s="47">
        <f t="shared" si="0"/>
        <v>780.88498304027928</v>
      </c>
      <c r="AF6" s="47">
        <f t="shared" si="0"/>
        <v>1015.6478254504617</v>
      </c>
      <c r="AG6" s="47">
        <f t="shared" si="0"/>
        <v>1466.815683789742</v>
      </c>
      <c r="AH6" s="47">
        <f t="shared" si="0"/>
        <v>1668.9591775743984</v>
      </c>
      <c r="AJ6" s="47">
        <f>INDEX(Direct_Cost_Splits_Non_Ntwk,MATCH($G6,RIN_Asset_Cat_Non_Ntwk,0),MATCH($AJ$4,Direct_Cost_Type,0))*I6*HLOOKUP(AJ$5,Escalators!$I$25:$U$30,6,FALSE)</f>
        <v>-2.842053183703756E-2</v>
      </c>
      <c r="AK6" s="47">
        <f>INDEX(Direct_Cost_Splits_Non_Ntwk,MATCH($G6,RIN_Asset_Cat_Non_Ntwk,0),MATCH($AJ$4,Direct_Cost_Type,0))*J6*HLOOKUP(AK$5,Escalators!$I$25:$U$30,6,FALSE)</f>
        <v>-2.3907876359741623E-2</v>
      </c>
      <c r="AL6" s="47">
        <f>INDEX(Direct_Cost_Splits_Non_Ntwk,MATCH($G6,RIN_Asset_Cat_Non_Ntwk,0),MATCH($AJ$4,Direct_Cost_Type,0))*K6*HLOOKUP(AL$5,Escalators!$I$25:$U$30,6,FALSE)</f>
        <v>-2.2116960865055969E-2</v>
      </c>
      <c r="AM6" s="47">
        <f>INDEX(Direct_Cost_Splits_Non_Ntwk,MATCH($G6,RIN_Asset_Cat_Non_Ntwk,0),MATCH($AJ$4,Direct_Cost_Type,0))*L6*HLOOKUP(AM$5,Escalators!$I$25:$U$30,6,FALSE)</f>
        <v>-4.3183848658954568E-2</v>
      </c>
      <c r="AN6" s="47">
        <f>INDEX(Direct_Cost_Splits_Non_Ntwk,MATCH($G6,RIN_Asset_Cat_Non_Ntwk,0),MATCH($AJ$4,Direct_Cost_Type,0))*M6*HLOOKUP(AN$5,Escalators!$I$25:$U$30,6,FALSE)</f>
        <v>-4.1382726640469721E-2</v>
      </c>
      <c r="AO6" s="47">
        <f>INDEX(Direct_Cost_Splits_Non_Ntwk,MATCH($G6,RIN_Asset_Cat_Non_Ntwk,0),MATCH($AJ$4,Direct_Cost_Type,0))*N6*HLOOKUP(AO$5,Escalators!$I$25:$U$30,6,FALSE)</f>
        <v>-5.4403255671234267E-2</v>
      </c>
      <c r="AP6" s="47">
        <f>INDEX(Direct_Cost_Splits_Non_Ntwk,MATCH($G6,RIN_Asset_Cat_Non_Ntwk,0),MATCH($AJ$4,Direct_Cost_Type,0))*O6*HLOOKUP(AP$5,Escalators!$I$25:$U$30,6,FALSE)</f>
        <v>-7.9312998137480176E-2</v>
      </c>
      <c r="AQ6" s="47">
        <f>INDEX(Direct_Cost_Splits_Non_Ntwk,MATCH($G6,RIN_Asset_Cat_Non_Ntwk,0),MATCH($AJ$4,Direct_Cost_Type,0))*P6*HLOOKUP(AQ$5,Escalators!$I$25:$U$30,6,FALSE)</f>
        <v>-9.1037350494872354E-2</v>
      </c>
      <c r="AS6" s="47">
        <f t="shared" ref="AS6:AZ12" si="1">INDEX(Direct_Cost_Splits_Non_Ntwk,MATCH($G6,RIN_Asset_Cat_Non_Ntwk,0),MATCH($AS$4,Direct_Cost_Type,0))*I6</f>
        <v>1221.0391181331108</v>
      </c>
      <c r="AT6" s="47">
        <f t="shared" si="1"/>
        <v>1017.4412919816735</v>
      </c>
      <c r="AU6" s="47">
        <f t="shared" si="1"/>
        <v>937.0299737603674</v>
      </c>
      <c r="AV6" s="47">
        <f t="shared" si="1"/>
        <v>1812.2323794562326</v>
      </c>
      <c r="AW6" s="47">
        <f t="shared" si="1"/>
        <v>1719.0100472613135</v>
      </c>
      <c r="AX6" s="47">
        <f t="shared" si="1"/>
        <v>2235.8079030166109</v>
      </c>
      <c r="AY6" s="47">
        <f t="shared" si="1"/>
        <v>3228.9914042116739</v>
      </c>
      <c r="AZ6" s="47">
        <f t="shared" si="1"/>
        <v>3673.9822855210218</v>
      </c>
      <c r="BB6" s="47">
        <f t="shared" ref="BB6:BB13" si="2">R6+AA6+AJ6+AS6</f>
        <v>1775.8207074589654</v>
      </c>
      <c r="BC6" s="47">
        <f t="shared" ref="BC6:BC14" si="3">S6+AB6+AK6+AT6</f>
        <v>1479.718649896774</v>
      </c>
      <c r="BD6" s="47">
        <f t="shared" ref="BD6:BD14" si="4">T6+AC6+AL6+AU6</f>
        <v>1362.7725908548334</v>
      </c>
      <c r="BE6" s="47">
        <f t="shared" ref="BE6:BE14" si="5">U6+AD6+AM6+AV6</f>
        <v>2635.6275984371596</v>
      </c>
      <c r="BF6" s="47">
        <f t="shared" ref="BF6:BF14" si="6">V6+AE6+AN6+AW6</f>
        <v>2500.0509000332308</v>
      </c>
      <c r="BG6" s="47">
        <f t="shared" ref="BG6:BG14" si="7">W6+AF6+AO6+AX6</f>
        <v>3251.6606405535908</v>
      </c>
      <c r="BH6" s="47">
        <f t="shared" ref="BH6:BH14" si="8">X6+AG6+AP6+AY6</f>
        <v>4696.1058236512563</v>
      </c>
      <c r="BI6" s="47">
        <f t="shared" ref="BI6:BI14" si="9">Y6+AH6+AQ6+AZ6</f>
        <v>5343.2843589977119</v>
      </c>
      <c r="BK6" s="375">
        <f>BB6*RFM_PTRM!L$3</f>
        <v>1812.7167113176433</v>
      </c>
      <c r="BL6" s="375">
        <f>BC6*RFM_PTRM!M$3</f>
        <v>1534.5230443373955</v>
      </c>
      <c r="BM6" s="375">
        <f>BD6*RFM_PTRM!N$3</f>
        <v>1441.5105627708906</v>
      </c>
      <c r="BN6" s="641" t="str">
        <f>E6</f>
        <v>Non-network general assets - Other</v>
      </c>
    </row>
    <row r="7" spans="2:66" x14ac:dyDescent="0.3">
      <c r="B7" s="7"/>
      <c r="C7" s="7" t="s">
        <v>281</v>
      </c>
      <c r="D7" s="7"/>
      <c r="E7" s="7" t="s">
        <v>50</v>
      </c>
      <c r="F7" s="7" t="s">
        <v>50</v>
      </c>
      <c r="G7" s="7" t="s">
        <v>5</v>
      </c>
      <c r="H7" s="7" t="s">
        <v>361</v>
      </c>
      <c r="I7" s="45">
        <v>1328</v>
      </c>
      <c r="J7" s="45">
        <v>1328</v>
      </c>
      <c r="K7" s="45">
        <v>614</v>
      </c>
      <c r="L7" s="45">
        <v>1228</v>
      </c>
      <c r="M7" s="45">
        <v>1228</v>
      </c>
      <c r="N7" s="45">
        <v>1228</v>
      </c>
      <c r="O7" s="45">
        <v>1228</v>
      </c>
      <c r="P7" s="45">
        <v>1228</v>
      </c>
      <c r="R7" s="47">
        <f>INDEX(Direct_Cost_Splits_Non_Ntwk,MATCH($G7,RIN_Asset_Cat_Non_Ntwk,0),MATCH($R$4,Direct_Cost_Type,0))*I7*HLOOKUP(R$5,Escalators!$I$25:$U$30,3,FALSE)</f>
        <v>55.631944670601662</v>
      </c>
      <c r="S7" s="47">
        <f>INDEX(Direct_Cost_Splits_Non_Ntwk,MATCH($G7,RIN_Asset_Cat_Non_Ntwk,0),MATCH($R$4,Direct_Cost_Type,0))*J7*HLOOKUP(S$5,Escalators!$I$25:$U$30,3,FALSE)</f>
        <v>56.163383095428522</v>
      </c>
      <c r="T7" s="47">
        <f>INDEX(Direct_Cost_Splits_Non_Ntwk,MATCH($G7,RIN_Asset_Cat_Non_Ntwk,0),MATCH($R$4,Direct_Cost_Type,0))*K7*HLOOKUP(T$5,Escalators!$I$25:$U$30,3,FALSE)</f>
        <v>26.083380721770187</v>
      </c>
      <c r="U7" s="47">
        <f>INDEX(Direct_Cost_Splits_Non_Ntwk,MATCH($G7,RIN_Asset_Cat_Non_Ntwk,0),MATCH($R$4,Direct_Cost_Type,0))*L7*HLOOKUP(U$5,Escalators!$I$25:$U$30,3,FALSE)</f>
        <v>52.665882940803129</v>
      </c>
      <c r="V7" s="47">
        <f>INDEX(Direct_Cost_Splits_Non_Ntwk,MATCH($G7,RIN_Asset_Cat_Non_Ntwk,0),MATCH($R$4,Direct_Cost_Type,0))*M7*HLOOKUP(V$5,Escalators!$I$25:$U$30,3,FALSE)</f>
        <v>53.206243444914655</v>
      </c>
      <c r="W7" s="47">
        <f>INDEX(Direct_Cost_Splits_Non_Ntwk,MATCH($G7,RIN_Asset_Cat_Non_Ntwk,0),MATCH($R$4,Direct_Cost_Type,0))*N7*HLOOKUP(W$5,Escalators!$I$25:$U$30,3,FALSE)</f>
        <v>53.778949327723986</v>
      </c>
      <c r="X7" s="47">
        <f>INDEX(Direct_Cost_Splits_Non_Ntwk,MATCH($G7,RIN_Asset_Cat_Non_Ntwk,0),MATCH($R$4,Direct_Cost_Type,0))*O7*HLOOKUP(X$5,Escalators!$I$25:$U$30,3,FALSE)</f>
        <v>54.287443235683305</v>
      </c>
      <c r="Y7" s="47">
        <f>INDEX(Direct_Cost_Splits_Non_Ntwk,MATCH($G7,RIN_Asset_Cat_Non_Ntwk,0),MATCH($R$4,Direct_Cost_Type,0))*P7*HLOOKUP(Y$5,Escalators!$I$25:$U$30,3,FALSE)</f>
        <v>54.765172736157311</v>
      </c>
      <c r="AA7" s="47">
        <f t="shared" si="0"/>
        <v>725.66764204452227</v>
      </c>
      <c r="AB7" s="47">
        <f t="shared" si="0"/>
        <v>725.66764204452227</v>
      </c>
      <c r="AC7" s="47">
        <f t="shared" si="0"/>
        <v>335.5119971501029</v>
      </c>
      <c r="AD7" s="47">
        <f t="shared" si="0"/>
        <v>671.0239943002058</v>
      </c>
      <c r="AE7" s="47">
        <f t="shared" si="0"/>
        <v>671.0239943002058</v>
      </c>
      <c r="AF7" s="47">
        <f t="shared" si="0"/>
        <v>671.0239943002058</v>
      </c>
      <c r="AG7" s="47">
        <f t="shared" si="0"/>
        <v>671.0239943002058</v>
      </c>
      <c r="AH7" s="47">
        <f t="shared" si="0"/>
        <v>671.0239943002058</v>
      </c>
      <c r="AJ7" s="47">
        <f>INDEX(Direct_Cost_Splits_Non_Ntwk,MATCH($G7,RIN_Asset_Cat_Non_Ntwk,0),MATCH($AJ$4,Direct_Cost_Type,0))*I7*HLOOKUP(AJ$5,Escalators!$I$25:$U$30,6,FALSE)</f>
        <v>252.13888870204025</v>
      </c>
      <c r="AK7" s="47">
        <f>INDEX(Direct_Cost_Splits_Non_Ntwk,MATCH($G7,RIN_Asset_Cat_Non_Ntwk,0),MATCH($AJ$4,Direct_Cost_Type,0))*J7*HLOOKUP(AK$5,Escalators!$I$25:$U$30,6,FALSE)</f>
        <v>254.5475101270651</v>
      </c>
      <c r="AL7" s="47">
        <f>INDEX(Direct_Cost_Splits_Non_Ntwk,MATCH($G7,RIN_Asset_Cat_Non_Ntwk,0),MATCH($AJ$4,Direct_Cost_Type,0))*K7*HLOOKUP(AL$5,Escalators!$I$25:$U$30,6,FALSE)</f>
        <v>118.21687463416562</v>
      </c>
      <c r="AM7" s="47">
        <f>INDEX(Direct_Cost_Splits_Non_Ntwk,MATCH($G7,RIN_Asset_Cat_Non_Ntwk,0),MATCH($AJ$4,Direct_Cost_Type,0))*L7*HLOOKUP(AM$5,Escalators!$I$25:$U$30,6,FALSE)</f>
        <v>238.69590171315912</v>
      </c>
      <c r="AN7" s="47">
        <f>INDEX(Direct_Cost_Splits_Non_Ntwk,MATCH($G7,RIN_Asset_Cat_Non_Ntwk,0),MATCH($AJ$4,Direct_Cost_Type,0))*M7*HLOOKUP(AN$5,Escalators!$I$25:$U$30,6,FALSE)</f>
        <v>241.14496039359662</v>
      </c>
      <c r="AO7" s="47">
        <f>INDEX(Direct_Cost_Splits_Non_Ntwk,MATCH($G7,RIN_Asset_Cat_Non_Ntwk,0),MATCH($AJ$4,Direct_Cost_Type,0))*N7*HLOOKUP(AO$5,Escalators!$I$25:$U$30,6,FALSE)</f>
        <v>243.74061700239699</v>
      </c>
      <c r="AP7" s="47">
        <f>INDEX(Direct_Cost_Splits_Non_Ntwk,MATCH($G7,RIN_Asset_Cat_Non_Ntwk,0),MATCH($AJ$4,Direct_Cost_Type,0))*O7*HLOOKUP(AP$5,Escalators!$I$25:$U$30,6,FALSE)</f>
        <v>246.04524772533435</v>
      </c>
      <c r="AQ7" s="47">
        <f>INDEX(Direct_Cost_Splits_Non_Ntwk,MATCH($G7,RIN_Asset_Cat_Non_Ntwk,0),MATCH($AJ$4,Direct_Cost_Type,0))*P7*HLOOKUP(AQ$5,Escalators!$I$25:$U$30,6,FALSE)</f>
        <v>248.2104459053173</v>
      </c>
      <c r="AS7" s="47">
        <f t="shared" si="1"/>
        <v>297.31431244358066</v>
      </c>
      <c r="AT7" s="47">
        <f t="shared" si="1"/>
        <v>297.31431244358066</v>
      </c>
      <c r="AU7" s="47">
        <f t="shared" si="1"/>
        <v>137.46309325328204</v>
      </c>
      <c r="AV7" s="47">
        <f t="shared" si="1"/>
        <v>274.92618650656408</v>
      </c>
      <c r="AW7" s="47">
        <f t="shared" si="1"/>
        <v>274.92618650656408</v>
      </c>
      <c r="AX7" s="47">
        <f t="shared" si="1"/>
        <v>274.92618650656408</v>
      </c>
      <c r="AY7" s="47">
        <f t="shared" si="1"/>
        <v>274.92618650656408</v>
      </c>
      <c r="AZ7" s="47">
        <f t="shared" si="1"/>
        <v>274.92618650656408</v>
      </c>
      <c r="BB7" s="47">
        <f t="shared" si="2"/>
        <v>1330.7527878607448</v>
      </c>
      <c r="BC7" s="47">
        <f t="shared" si="3"/>
        <v>1333.6928477105967</v>
      </c>
      <c r="BD7" s="47">
        <f t="shared" si="4"/>
        <v>617.27534575932077</v>
      </c>
      <c r="BE7" s="47">
        <f t="shared" si="5"/>
        <v>1237.3119654607322</v>
      </c>
      <c r="BF7" s="47">
        <f t="shared" si="6"/>
        <v>1240.3013846452811</v>
      </c>
      <c r="BG7" s="47">
        <f t="shared" si="7"/>
        <v>1243.4697471368909</v>
      </c>
      <c r="BH7" s="47">
        <f t="shared" si="8"/>
        <v>1246.2828717677876</v>
      </c>
      <c r="BI7" s="47">
        <f t="shared" si="9"/>
        <v>1248.9257994482446</v>
      </c>
      <c r="BK7" s="375">
        <f>BB7*RFM_PTRM!L$3</f>
        <v>1358.4016714387008</v>
      </c>
      <c r="BL7" s="375">
        <f>BC7*RFM_PTRM!M$3</f>
        <v>1383.0888791072857</v>
      </c>
      <c r="BM7" s="375">
        <f>BD7*RFM_PTRM!N$3</f>
        <v>652.94014351430383</v>
      </c>
      <c r="BN7" s="641" t="str">
        <f t="shared" ref="BN7:BN14" si="10">E7</f>
        <v>Non-network general assets - Other</v>
      </c>
    </row>
    <row r="8" spans="2:66" x14ac:dyDescent="0.3">
      <c r="B8" s="7"/>
      <c r="C8" s="7" t="s">
        <v>440</v>
      </c>
      <c r="D8" s="7"/>
      <c r="E8" s="7" t="s">
        <v>397</v>
      </c>
      <c r="F8" s="7" t="s">
        <v>50</v>
      </c>
      <c r="G8" s="7" t="s">
        <v>163</v>
      </c>
      <c r="H8" s="7" t="s">
        <v>339</v>
      </c>
      <c r="I8" s="45">
        <v>0</v>
      </c>
      <c r="J8" s="45">
        <v>0</v>
      </c>
      <c r="K8" s="45">
        <v>0</v>
      </c>
      <c r="L8" s="45">
        <v>0</v>
      </c>
      <c r="M8" s="45">
        <v>0</v>
      </c>
      <c r="N8" s="45">
        <v>0</v>
      </c>
      <c r="O8" s="45">
        <v>0</v>
      </c>
      <c r="P8" s="45">
        <v>0</v>
      </c>
      <c r="R8" s="47">
        <f>INDEX(Direct_Cost_Splits_Non_Ntwk,MATCH($G8,RIN_Asset_Cat_Non_Ntwk,0),MATCH($R$4,Direct_Cost_Type,0))*I8*HLOOKUP(R$5,Escalators!$I$25:$U$30,3,FALSE)</f>
        <v>0</v>
      </c>
      <c r="S8" s="47">
        <f>INDEX(Direct_Cost_Splits_Non_Ntwk,MATCH($G8,RIN_Asset_Cat_Non_Ntwk,0),MATCH($R$4,Direct_Cost_Type,0))*J8*HLOOKUP(S$5,Escalators!$I$25:$U$30,3,FALSE)</f>
        <v>0</v>
      </c>
      <c r="T8" s="47">
        <f>INDEX(Direct_Cost_Splits_Non_Ntwk,MATCH($G8,RIN_Asset_Cat_Non_Ntwk,0),MATCH($R$4,Direct_Cost_Type,0))*K8*HLOOKUP(T$5,Escalators!$I$25:$U$30,3,FALSE)</f>
        <v>0</v>
      </c>
      <c r="U8" s="47">
        <f>INDEX(Direct_Cost_Splits_Non_Ntwk,MATCH($G8,RIN_Asset_Cat_Non_Ntwk,0),MATCH($R$4,Direct_Cost_Type,0))*L8*HLOOKUP(U$5,Escalators!$I$25:$U$30,3,FALSE)</f>
        <v>0</v>
      </c>
      <c r="V8" s="47">
        <f>INDEX(Direct_Cost_Splits_Non_Ntwk,MATCH($G8,RIN_Asset_Cat_Non_Ntwk,0),MATCH($R$4,Direct_Cost_Type,0))*M8*HLOOKUP(V$5,Escalators!$I$25:$U$30,3,FALSE)</f>
        <v>0</v>
      </c>
      <c r="W8" s="47">
        <f>INDEX(Direct_Cost_Splits_Non_Ntwk,MATCH($G8,RIN_Asset_Cat_Non_Ntwk,0),MATCH($R$4,Direct_Cost_Type,0))*N8*HLOOKUP(W$5,Escalators!$I$25:$U$30,3,FALSE)</f>
        <v>0</v>
      </c>
      <c r="X8" s="47">
        <f>INDEX(Direct_Cost_Splits_Non_Ntwk,MATCH($G8,RIN_Asset_Cat_Non_Ntwk,0),MATCH($R$4,Direct_Cost_Type,0))*O8*HLOOKUP(X$5,Escalators!$I$25:$U$30,3,FALSE)</f>
        <v>0</v>
      </c>
      <c r="Y8" s="47">
        <f>INDEX(Direct_Cost_Splits_Non_Ntwk,MATCH($G8,RIN_Asset_Cat_Non_Ntwk,0),MATCH($R$4,Direct_Cost_Type,0))*P8*HLOOKUP(Y$5,Escalators!$I$25:$U$30,3,FALSE)</f>
        <v>0</v>
      </c>
      <c r="AA8" s="47">
        <f t="shared" si="0"/>
        <v>0</v>
      </c>
      <c r="AB8" s="47">
        <f t="shared" si="0"/>
        <v>0</v>
      </c>
      <c r="AC8" s="47">
        <f t="shared" si="0"/>
        <v>0</v>
      </c>
      <c r="AD8" s="47">
        <f t="shared" si="0"/>
        <v>0</v>
      </c>
      <c r="AE8" s="47">
        <f t="shared" si="0"/>
        <v>0</v>
      </c>
      <c r="AF8" s="47">
        <f t="shared" si="0"/>
        <v>0</v>
      </c>
      <c r="AG8" s="47">
        <f t="shared" si="0"/>
        <v>0</v>
      </c>
      <c r="AH8" s="47">
        <f t="shared" si="0"/>
        <v>0</v>
      </c>
      <c r="AJ8" s="47">
        <f>INDEX(Direct_Cost_Splits_Non_Ntwk,MATCH($G8,RIN_Asset_Cat_Non_Ntwk,0),MATCH($AJ$4,Direct_Cost_Type,0))*I8*HLOOKUP(AJ$5,Escalators!$I$25:$U$30,6,FALSE)</f>
        <v>0</v>
      </c>
      <c r="AK8" s="47">
        <f>INDEX(Direct_Cost_Splits_Non_Ntwk,MATCH($G8,RIN_Asset_Cat_Non_Ntwk,0),MATCH($AJ$4,Direct_Cost_Type,0))*J8*HLOOKUP(AK$5,Escalators!$I$25:$U$30,6,FALSE)</f>
        <v>0</v>
      </c>
      <c r="AL8" s="47">
        <f>INDEX(Direct_Cost_Splits_Non_Ntwk,MATCH($G8,RIN_Asset_Cat_Non_Ntwk,0),MATCH($AJ$4,Direct_Cost_Type,0))*K8*HLOOKUP(AL$5,Escalators!$I$25:$U$30,6,FALSE)</f>
        <v>0</v>
      </c>
      <c r="AM8" s="47">
        <f>INDEX(Direct_Cost_Splits_Non_Ntwk,MATCH($G8,RIN_Asset_Cat_Non_Ntwk,0),MATCH($AJ$4,Direct_Cost_Type,0))*L8*HLOOKUP(AM$5,Escalators!$I$25:$U$30,6,FALSE)</f>
        <v>0</v>
      </c>
      <c r="AN8" s="47">
        <f>INDEX(Direct_Cost_Splits_Non_Ntwk,MATCH($G8,RIN_Asset_Cat_Non_Ntwk,0),MATCH($AJ$4,Direct_Cost_Type,0))*M8*HLOOKUP(AN$5,Escalators!$I$25:$U$30,6,FALSE)</f>
        <v>0</v>
      </c>
      <c r="AO8" s="47">
        <f>INDEX(Direct_Cost_Splits_Non_Ntwk,MATCH($G8,RIN_Asset_Cat_Non_Ntwk,0),MATCH($AJ$4,Direct_Cost_Type,0))*N8*HLOOKUP(AO$5,Escalators!$I$25:$U$30,6,FALSE)</f>
        <v>0</v>
      </c>
      <c r="AP8" s="47">
        <f>INDEX(Direct_Cost_Splits_Non_Ntwk,MATCH($G8,RIN_Asset_Cat_Non_Ntwk,0),MATCH($AJ$4,Direct_Cost_Type,0))*O8*HLOOKUP(AP$5,Escalators!$I$25:$U$30,6,FALSE)</f>
        <v>0</v>
      </c>
      <c r="AQ8" s="47">
        <f>INDEX(Direct_Cost_Splits_Non_Ntwk,MATCH($G8,RIN_Asset_Cat_Non_Ntwk,0),MATCH($AJ$4,Direct_Cost_Type,0))*P8*HLOOKUP(AQ$5,Escalators!$I$25:$U$30,6,FALSE)</f>
        <v>0</v>
      </c>
      <c r="AS8" s="47">
        <f t="shared" si="1"/>
        <v>0</v>
      </c>
      <c r="AT8" s="47">
        <f t="shared" si="1"/>
        <v>0</v>
      </c>
      <c r="AU8" s="47">
        <f t="shared" si="1"/>
        <v>0</v>
      </c>
      <c r="AV8" s="47">
        <f t="shared" si="1"/>
        <v>0</v>
      </c>
      <c r="AW8" s="47">
        <f t="shared" si="1"/>
        <v>0</v>
      </c>
      <c r="AX8" s="47">
        <f t="shared" si="1"/>
        <v>0</v>
      </c>
      <c r="AY8" s="47">
        <f t="shared" si="1"/>
        <v>0</v>
      </c>
      <c r="AZ8" s="47">
        <f t="shared" si="1"/>
        <v>0</v>
      </c>
      <c r="BB8" s="47">
        <f t="shared" si="2"/>
        <v>0</v>
      </c>
      <c r="BC8" s="47">
        <f t="shared" si="3"/>
        <v>0</v>
      </c>
      <c r="BD8" s="47">
        <f t="shared" si="4"/>
        <v>0</v>
      </c>
      <c r="BE8" s="47">
        <f t="shared" si="5"/>
        <v>0</v>
      </c>
      <c r="BF8" s="47">
        <f t="shared" si="6"/>
        <v>0</v>
      </c>
      <c r="BG8" s="47">
        <f t="shared" si="7"/>
        <v>0</v>
      </c>
      <c r="BH8" s="47">
        <f t="shared" si="8"/>
        <v>0</v>
      </c>
      <c r="BI8" s="47">
        <f t="shared" si="9"/>
        <v>0</v>
      </c>
      <c r="BK8" s="375">
        <f>BB8*RFM_PTRM!L$3</f>
        <v>0</v>
      </c>
      <c r="BL8" s="375">
        <f>BC8*RFM_PTRM!M$3</f>
        <v>0</v>
      </c>
      <c r="BM8" s="375">
        <f>BD8*RFM_PTRM!N$3</f>
        <v>0</v>
      </c>
      <c r="BN8" s="641" t="str">
        <f t="shared" si="10"/>
        <v>Land</v>
      </c>
    </row>
    <row r="9" spans="2:66" x14ac:dyDescent="0.3">
      <c r="B9" s="7"/>
      <c r="C9" s="7" t="s">
        <v>544</v>
      </c>
      <c r="D9" s="7"/>
      <c r="E9" s="7" t="s">
        <v>50</v>
      </c>
      <c r="F9" s="7" t="s">
        <v>50</v>
      </c>
      <c r="G9" s="7" t="s">
        <v>163</v>
      </c>
      <c r="H9" s="7" t="s">
        <v>339</v>
      </c>
      <c r="I9" s="45">
        <v>2177</v>
      </c>
      <c r="J9" s="45">
        <v>1422.25</v>
      </c>
      <c r="K9" s="45">
        <v>1693.3</v>
      </c>
      <c r="L9" s="45">
        <v>3190.46</v>
      </c>
      <c r="M9" s="45">
        <v>2006.14</v>
      </c>
      <c r="N9" s="45">
        <v>811.48</v>
      </c>
      <c r="O9" s="45">
        <v>2372.13</v>
      </c>
      <c r="P9" s="45">
        <v>4139.26</v>
      </c>
      <c r="R9" s="47">
        <f>INDEX(Direct_Cost_Splits_Non_Ntwk,MATCH($G9,RIN_Asset_Cat_Non_Ntwk,0),MATCH($R$4,Direct_Cost_Type,0))*I9*HLOOKUP(R$5,Escalators!$I$25:$U$30,3,FALSE)</f>
        <v>0</v>
      </c>
      <c r="S9" s="47">
        <f>INDEX(Direct_Cost_Splits_Non_Ntwk,MATCH($G9,RIN_Asset_Cat_Non_Ntwk,0),MATCH($R$4,Direct_Cost_Type,0))*J9*HLOOKUP(S$5,Escalators!$I$25:$U$30,3,FALSE)</f>
        <v>0</v>
      </c>
      <c r="T9" s="47">
        <f>INDEX(Direct_Cost_Splits_Non_Ntwk,MATCH($G9,RIN_Asset_Cat_Non_Ntwk,0),MATCH($R$4,Direct_Cost_Type,0))*K9*HLOOKUP(T$5,Escalators!$I$25:$U$30,3,FALSE)</f>
        <v>0</v>
      </c>
      <c r="U9" s="47">
        <f>INDEX(Direct_Cost_Splits_Non_Ntwk,MATCH($G9,RIN_Asset_Cat_Non_Ntwk,0),MATCH($R$4,Direct_Cost_Type,0))*L9*HLOOKUP(U$5,Escalators!$I$25:$U$30,3,FALSE)</f>
        <v>0</v>
      </c>
      <c r="V9" s="47">
        <f>INDEX(Direct_Cost_Splits_Non_Ntwk,MATCH($G9,RIN_Asset_Cat_Non_Ntwk,0),MATCH($R$4,Direct_Cost_Type,0))*M9*HLOOKUP(V$5,Escalators!$I$25:$U$30,3,FALSE)</f>
        <v>0</v>
      </c>
      <c r="W9" s="47">
        <f>INDEX(Direct_Cost_Splits_Non_Ntwk,MATCH($G9,RIN_Asset_Cat_Non_Ntwk,0),MATCH($R$4,Direct_Cost_Type,0))*N9*HLOOKUP(W$5,Escalators!$I$25:$U$30,3,FALSE)</f>
        <v>0</v>
      </c>
      <c r="X9" s="47">
        <f>INDEX(Direct_Cost_Splits_Non_Ntwk,MATCH($G9,RIN_Asset_Cat_Non_Ntwk,0),MATCH($R$4,Direct_Cost_Type,0))*O9*HLOOKUP(X$5,Escalators!$I$25:$U$30,3,FALSE)</f>
        <v>0</v>
      </c>
      <c r="Y9" s="47">
        <f>INDEX(Direct_Cost_Splits_Non_Ntwk,MATCH($G9,RIN_Asset_Cat_Non_Ntwk,0),MATCH($R$4,Direct_Cost_Type,0))*P9*HLOOKUP(Y$5,Escalators!$I$25:$U$30,3,FALSE)</f>
        <v>0</v>
      </c>
      <c r="AA9" s="47">
        <f t="shared" si="0"/>
        <v>268.77235530690763</v>
      </c>
      <c r="AB9" s="47">
        <f t="shared" si="0"/>
        <v>175.59094273553023</v>
      </c>
      <c r="AC9" s="47">
        <f t="shared" si="0"/>
        <v>209.05476768083906</v>
      </c>
      <c r="AD9" s="47">
        <f t="shared" si="0"/>
        <v>393.89409679029694</v>
      </c>
      <c r="AE9" s="47">
        <f t="shared" si="0"/>
        <v>247.67798478429015</v>
      </c>
      <c r="AF9" s="47">
        <f t="shared" si="0"/>
        <v>100.18529668555323</v>
      </c>
      <c r="AG9" s="47">
        <f t="shared" si="0"/>
        <v>292.86309930830259</v>
      </c>
      <c r="AH9" s="47">
        <f t="shared" si="0"/>
        <v>511.03291659516327</v>
      </c>
      <c r="AJ9" s="47">
        <f>INDEX(Direct_Cost_Splits_Non_Ntwk,MATCH($G9,RIN_Asset_Cat_Non_Ntwk,0),MATCH($AJ$4,Direct_Cost_Type,0))*I9*HLOOKUP(AJ$5,Escalators!$I$25:$U$30,6,FALSE)</f>
        <v>1577.312784078252</v>
      </c>
      <c r="AK9" s="47">
        <f>INDEX(Direct_Cost_Splits_Non_Ntwk,MATCH($G9,RIN_Asset_Cat_Non_Ntwk,0),MATCH($AJ$4,Direct_Cost_Type,0))*J9*HLOOKUP(AK$5,Escalators!$I$25:$U$30,6,FALSE)</f>
        <v>1040.3137906422805</v>
      </c>
      <c r="AL9" s="47">
        <f>INDEX(Direct_Cost_Splits_Non_Ntwk,MATCH($G9,RIN_Asset_Cat_Non_Ntwk,0),MATCH($AJ$4,Direct_Cost_Type,0))*K9*HLOOKUP(AL$5,Escalators!$I$25:$U$30,6,FALSE)</f>
        <v>1244.1210712021748</v>
      </c>
      <c r="AM9" s="47">
        <f>INDEX(Direct_Cost_Splits_Non_Ntwk,MATCH($G9,RIN_Asset_Cat_Non_Ntwk,0),MATCH($AJ$4,Direct_Cost_Type,0))*L9*HLOOKUP(AM$5,Escalators!$I$25:$U$30,6,FALSE)</f>
        <v>2366.560081301534</v>
      </c>
      <c r="AN9" s="47">
        <f>INDEX(Direct_Cost_Splits_Non_Ntwk,MATCH($G9,RIN_Asset_Cat_Non_Ntwk,0),MATCH($AJ$4,Direct_Cost_Type,0))*M9*HLOOKUP(AN$5,Escalators!$I$25:$U$30,6,FALSE)</f>
        <v>1503.3451318779676</v>
      </c>
      <c r="AO9" s="47">
        <f>INDEX(Direct_Cost_Splits_Non_Ntwk,MATCH($G9,RIN_Asset_Cat_Non_Ntwk,0),MATCH($AJ$4,Direct_Cost_Type,0))*N9*HLOOKUP(AO$5,Escalators!$I$25:$U$30,6,FALSE)</f>
        <v>614.64590821031413</v>
      </c>
      <c r="AP9" s="47">
        <f>INDEX(Direct_Cost_Splits_Non_Ntwk,MATCH($G9,RIN_Asset_Cat_Non_Ntwk,0),MATCH($AJ$4,Direct_Cost_Type,0))*O9*HLOOKUP(AP$5,Escalators!$I$25:$U$30,6,FALSE)</f>
        <v>1813.7304127206621</v>
      </c>
      <c r="AQ9" s="47">
        <f>INDEX(Direct_Cost_Splits_Non_Ntwk,MATCH($G9,RIN_Asset_Cat_Non_Ntwk,0),MATCH($AJ$4,Direct_Cost_Type,0))*P9*HLOOKUP(AQ$5,Escalators!$I$25:$U$30,6,FALSE)</f>
        <v>3192.7287979756247</v>
      </c>
      <c r="AS9" s="47">
        <f t="shared" si="1"/>
        <v>345.02278447827911</v>
      </c>
      <c r="AT9" s="47">
        <f t="shared" si="1"/>
        <v>225.40590501802134</v>
      </c>
      <c r="AU9" s="47">
        <f t="shared" si="1"/>
        <v>268.36338123889294</v>
      </c>
      <c r="AV9" s="47">
        <f t="shared" si="1"/>
        <v>505.64142993411588</v>
      </c>
      <c r="AW9" s="47">
        <f t="shared" si="1"/>
        <v>317.94396364412256</v>
      </c>
      <c r="AX9" s="47">
        <f t="shared" si="1"/>
        <v>128.60775799193107</v>
      </c>
      <c r="AY9" s="47">
        <f t="shared" si="1"/>
        <v>375.94804673608644</v>
      </c>
      <c r="AZ9" s="47">
        <f t="shared" si="1"/>
        <v>656.01240738611</v>
      </c>
      <c r="BB9" s="47">
        <f t="shared" si="2"/>
        <v>2191.1079238634388</v>
      </c>
      <c r="BC9" s="47">
        <f t="shared" si="3"/>
        <v>1441.310638395832</v>
      </c>
      <c r="BD9" s="47">
        <f t="shared" si="4"/>
        <v>1721.539220121907</v>
      </c>
      <c r="BE9" s="47">
        <f t="shared" si="5"/>
        <v>3266.0956080259466</v>
      </c>
      <c r="BF9" s="47">
        <f t="shared" si="6"/>
        <v>2068.9670803063805</v>
      </c>
      <c r="BG9" s="47">
        <f t="shared" si="7"/>
        <v>843.43896288779843</v>
      </c>
      <c r="BH9" s="47">
        <f t="shared" si="8"/>
        <v>2482.5415587650509</v>
      </c>
      <c r="BI9" s="47">
        <f t="shared" si="9"/>
        <v>4359.7741219568979</v>
      </c>
      <c r="BK9" s="375">
        <f>BB9*RFM_PTRM!L$3</f>
        <v>2236.6322980719838</v>
      </c>
      <c r="BL9" s="375">
        <f>BC9*RFM_PTRM!M$3</f>
        <v>1494.6925138919742</v>
      </c>
      <c r="BM9" s="375">
        <f>BD9*RFM_PTRM!N$3</f>
        <v>1821.0059306178396</v>
      </c>
      <c r="BN9" s="641" t="str">
        <f t="shared" si="10"/>
        <v>Non-network general assets - Other</v>
      </c>
    </row>
    <row r="10" spans="2:66" x14ac:dyDescent="0.3">
      <c r="B10" s="7"/>
      <c r="C10" s="7" t="s">
        <v>282</v>
      </c>
      <c r="D10" s="7"/>
      <c r="E10" s="7" t="s">
        <v>50</v>
      </c>
      <c r="F10" s="7" t="s">
        <v>50</v>
      </c>
      <c r="G10" s="7" t="s">
        <v>5</v>
      </c>
      <c r="H10" s="7" t="s">
        <v>361</v>
      </c>
      <c r="I10" s="45">
        <v>260</v>
      </c>
      <c r="J10" s="45">
        <v>260</v>
      </c>
      <c r="K10" s="45">
        <v>130</v>
      </c>
      <c r="L10" s="45">
        <v>260</v>
      </c>
      <c r="M10" s="45">
        <v>260</v>
      </c>
      <c r="N10" s="45">
        <v>260</v>
      </c>
      <c r="O10" s="45">
        <v>260</v>
      </c>
      <c r="P10" s="45">
        <v>260</v>
      </c>
      <c r="R10" s="47">
        <f>INDEX(Direct_Cost_Splits_Non_Ntwk,MATCH($G10,RIN_Asset_Cat_Non_Ntwk,0),MATCH($R$4,Direct_Cost_Type,0))*I10*HLOOKUP(R$5,Escalators!$I$25:$U$30,3,FALSE)</f>
        <v>10.891796396352735</v>
      </c>
      <c r="S10" s="47">
        <f>INDEX(Direct_Cost_Splits_Non_Ntwk,MATCH($G10,RIN_Asset_Cat_Non_Ntwk,0),MATCH($R$4,Direct_Cost_Type,0))*J10*HLOOKUP(S$5,Escalators!$I$25:$U$30,3,FALSE)</f>
        <v>10.995843075912212</v>
      </c>
      <c r="T10" s="47">
        <f>INDEX(Direct_Cost_Splits_Non_Ntwk,MATCH($G10,RIN_Asset_Cat_Non_Ntwk,0),MATCH($R$4,Direct_Cost_Type,0))*K10*HLOOKUP(T$5,Escalators!$I$25:$U$30,3,FALSE)</f>
        <v>5.5225398922314728</v>
      </c>
      <c r="U10" s="47">
        <f>INDEX(Direct_Cost_Splits_Non_Ntwk,MATCH($G10,RIN_Asset_Cat_Non_Ntwk,0),MATCH($R$4,Direct_Cost_Type,0))*L10*HLOOKUP(U$5,Escalators!$I$25:$U$30,3,FALSE)</f>
        <v>11.150756974437146</v>
      </c>
      <c r="V10" s="47">
        <f>INDEX(Direct_Cost_Splits_Non_Ntwk,MATCH($G10,RIN_Asset_Cat_Non_Ntwk,0),MATCH($R$4,Direct_Cost_Type,0))*M10*HLOOKUP(V$5,Escalators!$I$25:$U$30,3,FALSE)</f>
        <v>11.26516555022623</v>
      </c>
      <c r="W10" s="47">
        <f>INDEX(Direct_Cost_Splits_Non_Ntwk,MATCH($G10,RIN_Asset_Cat_Non_Ntwk,0),MATCH($R$4,Direct_Cost_Type,0))*N10*HLOOKUP(W$5,Escalators!$I$25:$U$30,3,FALSE)</f>
        <v>11.386422496097913</v>
      </c>
      <c r="X10" s="47">
        <f>INDEX(Direct_Cost_Splits_Non_Ntwk,MATCH($G10,RIN_Asset_Cat_Non_Ntwk,0),MATCH($R$4,Direct_Cost_Type,0))*O10*HLOOKUP(X$5,Escalators!$I$25:$U$30,3,FALSE)</f>
        <v>11.494084072701677</v>
      </c>
      <c r="Y10" s="47">
        <f>INDEX(Direct_Cost_Splits_Non_Ntwk,MATCH($G10,RIN_Asset_Cat_Non_Ntwk,0),MATCH($R$4,Direct_Cost_Type,0))*P10*HLOOKUP(Y$5,Escalators!$I$25:$U$30,3,FALSE)</f>
        <v>11.595232012541452</v>
      </c>
      <c r="AA10" s="47">
        <f t="shared" si="0"/>
        <v>142.07348413522274</v>
      </c>
      <c r="AB10" s="47">
        <f t="shared" si="0"/>
        <v>142.07348413522274</v>
      </c>
      <c r="AC10" s="47">
        <f t="shared" si="0"/>
        <v>71.036742067611371</v>
      </c>
      <c r="AD10" s="47">
        <f t="shared" si="0"/>
        <v>142.07348413522274</v>
      </c>
      <c r="AE10" s="47">
        <f t="shared" si="0"/>
        <v>142.07348413522274</v>
      </c>
      <c r="AF10" s="47">
        <f t="shared" si="0"/>
        <v>142.07348413522274</v>
      </c>
      <c r="AG10" s="47">
        <f t="shared" si="0"/>
        <v>142.07348413522274</v>
      </c>
      <c r="AH10" s="47">
        <f t="shared" si="0"/>
        <v>142.07348413522274</v>
      </c>
      <c r="AJ10" s="47">
        <f>INDEX(Direct_Cost_Splits_Non_Ntwk,MATCH($G10,RIN_Asset_Cat_Non_Ntwk,0),MATCH($AJ$4,Direct_Cost_Type,0))*I10*HLOOKUP(AJ$5,Escalators!$I$25:$U$30,6,FALSE)</f>
        <v>49.364541462748846</v>
      </c>
      <c r="AK10" s="47">
        <f>INDEX(Direct_Cost_Splits_Non_Ntwk,MATCH($G10,RIN_Asset_Cat_Non_Ntwk,0),MATCH($AJ$4,Direct_Cost_Type,0))*J10*HLOOKUP(AK$5,Escalators!$I$25:$U$30,6,FALSE)</f>
        <v>49.83610891041937</v>
      </c>
      <c r="AL10" s="47">
        <f>INDEX(Direct_Cost_Splits_Non_Ntwk,MATCH($G10,RIN_Asset_Cat_Non_Ntwk,0),MATCH($AJ$4,Direct_Cost_Type,0))*K10*HLOOKUP(AL$5,Escalators!$I$25:$U$30,6,FALSE)</f>
        <v>25.029631437201189</v>
      </c>
      <c r="AM10" s="47">
        <f>INDEX(Direct_Cost_Splits_Non_Ntwk,MATCH($G10,RIN_Asset_Cat_Non_Ntwk,0),MATCH($AJ$4,Direct_Cost_Type,0))*L10*HLOOKUP(AM$5,Escalators!$I$25:$U$30,6,FALSE)</f>
        <v>50.538220232427825</v>
      </c>
      <c r="AN10" s="47">
        <f>INDEX(Direct_Cost_Splits_Non_Ntwk,MATCH($G10,RIN_Asset_Cat_Non_Ntwk,0),MATCH($AJ$4,Direct_Cost_Type,0))*M10*HLOOKUP(AN$5,Escalators!$I$25:$U$30,6,FALSE)</f>
        <v>51.056750571934131</v>
      </c>
      <c r="AO10" s="47">
        <f>INDEX(Direct_Cost_Splits_Non_Ntwk,MATCH($G10,RIN_Asset_Cat_Non_Ntwk,0),MATCH($AJ$4,Direct_Cost_Type,0))*N10*HLOOKUP(AO$5,Escalators!$I$25:$U$30,6,FALSE)</f>
        <v>51.606319560768092</v>
      </c>
      <c r="AP10" s="47">
        <f>INDEX(Direct_Cost_Splits_Non_Ntwk,MATCH($G10,RIN_Asset_Cat_Non_Ntwk,0),MATCH($AJ$4,Direct_Cost_Type,0))*O10*HLOOKUP(AP$5,Escalators!$I$25:$U$30,6,FALSE)</f>
        <v>52.094270691031703</v>
      </c>
      <c r="AQ10" s="47">
        <f>INDEX(Direct_Cost_Splits_Non_Ntwk,MATCH($G10,RIN_Asset_Cat_Non_Ntwk,0),MATCH($AJ$4,Direct_Cost_Type,0))*P10*HLOOKUP(AQ$5,Escalators!$I$25:$U$30,6,FALSE)</f>
        <v>52.552700273112784</v>
      </c>
      <c r="AS10" s="47">
        <f t="shared" si="1"/>
        <v>58.209127436243207</v>
      </c>
      <c r="AT10" s="47">
        <f t="shared" si="1"/>
        <v>58.209127436243207</v>
      </c>
      <c r="AU10" s="47">
        <f t="shared" si="1"/>
        <v>29.104563718121604</v>
      </c>
      <c r="AV10" s="47">
        <f t="shared" si="1"/>
        <v>58.209127436243207</v>
      </c>
      <c r="AW10" s="47">
        <f t="shared" si="1"/>
        <v>58.209127436243207</v>
      </c>
      <c r="AX10" s="47">
        <f t="shared" si="1"/>
        <v>58.209127436243207</v>
      </c>
      <c r="AY10" s="47">
        <f t="shared" si="1"/>
        <v>58.209127436243207</v>
      </c>
      <c r="AZ10" s="47">
        <f t="shared" si="1"/>
        <v>58.209127436243207</v>
      </c>
      <c r="BB10" s="47">
        <f t="shared" si="2"/>
        <v>260.53894943056753</v>
      </c>
      <c r="BC10" s="47">
        <f t="shared" si="3"/>
        <v>261.11456355779751</v>
      </c>
      <c r="BD10" s="47">
        <f t="shared" si="4"/>
        <v>130.69347711516565</v>
      </c>
      <c r="BE10" s="47">
        <f t="shared" si="5"/>
        <v>261.9715887783309</v>
      </c>
      <c r="BF10" s="47">
        <f t="shared" si="6"/>
        <v>262.60452769362632</v>
      </c>
      <c r="BG10" s="47">
        <f t="shared" si="7"/>
        <v>263.27535362833197</v>
      </c>
      <c r="BH10" s="47">
        <f t="shared" si="8"/>
        <v>263.87096633519934</v>
      </c>
      <c r="BI10" s="47">
        <f t="shared" si="9"/>
        <v>264.4305438571202</v>
      </c>
      <c r="BK10" s="375">
        <f>BB10*RFM_PTRM!L$3</f>
        <v>265.95213446842035</v>
      </c>
      <c r="BL10" s="375">
        <f>BC10*RFM_PTRM!M$3</f>
        <v>270.78547331919748</v>
      </c>
      <c r="BM10" s="375">
        <f>BD10*RFM_PTRM!N$3</f>
        <v>138.24465579293079</v>
      </c>
      <c r="BN10" s="641" t="str">
        <f t="shared" si="10"/>
        <v>Non-network general assets - Other</v>
      </c>
    </row>
    <row r="11" spans="2:66" x14ac:dyDescent="0.3">
      <c r="B11" s="7"/>
      <c r="C11" s="7" t="s">
        <v>648</v>
      </c>
      <c r="D11" s="7"/>
      <c r="E11" s="7" t="s">
        <v>50</v>
      </c>
      <c r="F11" s="7" t="s">
        <v>50</v>
      </c>
      <c r="G11" s="7" t="s">
        <v>5</v>
      </c>
      <c r="H11" s="7" t="s">
        <v>339</v>
      </c>
      <c r="I11" s="45"/>
      <c r="J11" s="45"/>
      <c r="K11" s="45"/>
      <c r="L11" s="45"/>
      <c r="M11" s="45"/>
      <c r="N11" s="45"/>
      <c r="O11" s="45"/>
      <c r="P11" s="45"/>
      <c r="R11" s="47">
        <f>INDEX(Direct_Cost_Splits_Non_Ntwk,MATCH($G11,RIN_Asset_Cat_Non_Ntwk,0),MATCH($R$4,Direct_Cost_Type,0))*I11*HLOOKUP(R$5,Escalators!$I$25:$U$30,3,FALSE)</f>
        <v>0</v>
      </c>
      <c r="S11" s="47">
        <f>INDEX(Direct_Cost_Splits_Non_Ntwk,MATCH($G11,RIN_Asset_Cat_Non_Ntwk,0),MATCH($R$4,Direct_Cost_Type,0))*J11*HLOOKUP(S$5,Escalators!$I$25:$U$30,3,FALSE)</f>
        <v>0</v>
      </c>
      <c r="T11" s="47">
        <f>INDEX(Direct_Cost_Splits_Non_Ntwk,MATCH($G11,RIN_Asset_Cat_Non_Ntwk,0),MATCH($R$4,Direct_Cost_Type,0))*K11*HLOOKUP(T$5,Escalators!$I$25:$U$30,3,FALSE)</f>
        <v>0</v>
      </c>
      <c r="U11" s="47">
        <f>INDEX(Direct_Cost_Splits_Non_Ntwk,MATCH($G11,RIN_Asset_Cat_Non_Ntwk,0),MATCH($R$4,Direct_Cost_Type,0))*L11*HLOOKUP(U$5,Escalators!$I$25:$U$30,3,FALSE)</f>
        <v>0</v>
      </c>
      <c r="V11" s="47">
        <f>INDEX(Direct_Cost_Splits_Non_Ntwk,MATCH($G11,RIN_Asset_Cat_Non_Ntwk,0),MATCH($R$4,Direct_Cost_Type,0))*M11*HLOOKUP(V$5,Escalators!$I$25:$U$30,3,FALSE)</f>
        <v>0</v>
      </c>
      <c r="W11" s="47">
        <f>INDEX(Direct_Cost_Splits_Non_Ntwk,MATCH($G11,RIN_Asset_Cat_Non_Ntwk,0),MATCH($R$4,Direct_Cost_Type,0))*N11*HLOOKUP(W$5,Escalators!$I$25:$U$30,3,FALSE)</f>
        <v>0</v>
      </c>
      <c r="X11" s="47">
        <f>INDEX(Direct_Cost_Splits_Non_Ntwk,MATCH($G11,RIN_Asset_Cat_Non_Ntwk,0),MATCH($R$4,Direct_Cost_Type,0))*O11*HLOOKUP(X$5,Escalators!$I$25:$U$30,3,FALSE)</f>
        <v>0</v>
      </c>
      <c r="Y11" s="47">
        <f>INDEX(Direct_Cost_Splits_Non_Ntwk,MATCH($G11,RIN_Asset_Cat_Non_Ntwk,0),MATCH($R$4,Direct_Cost_Type,0))*P11*HLOOKUP(Y$5,Escalators!$I$25:$U$30,3,FALSE)</f>
        <v>0</v>
      </c>
      <c r="AA11" s="47">
        <f t="shared" si="0"/>
        <v>0</v>
      </c>
      <c r="AB11" s="47">
        <f t="shared" si="0"/>
        <v>0</v>
      </c>
      <c r="AC11" s="47">
        <f t="shared" si="0"/>
        <v>0</v>
      </c>
      <c r="AD11" s="47">
        <f t="shared" si="0"/>
        <v>0</v>
      </c>
      <c r="AE11" s="47">
        <f t="shared" si="0"/>
        <v>0</v>
      </c>
      <c r="AF11" s="47">
        <f t="shared" si="0"/>
        <v>0</v>
      </c>
      <c r="AG11" s="47">
        <f t="shared" si="0"/>
        <v>0</v>
      </c>
      <c r="AH11" s="47">
        <f t="shared" si="0"/>
        <v>0</v>
      </c>
      <c r="AJ11" s="47">
        <f>INDEX(Direct_Cost_Splits_Non_Ntwk,MATCH($G11,RIN_Asset_Cat_Non_Ntwk,0),MATCH($AJ$4,Direct_Cost_Type,0))*I11*HLOOKUP(AJ$5,Escalators!$I$25:$U$30,6,FALSE)</f>
        <v>0</v>
      </c>
      <c r="AK11" s="47">
        <f>INDEX(Direct_Cost_Splits_Non_Ntwk,MATCH($G11,RIN_Asset_Cat_Non_Ntwk,0),MATCH($AJ$4,Direct_Cost_Type,0))*J11*HLOOKUP(AK$5,Escalators!$I$25:$U$30,6,FALSE)</f>
        <v>0</v>
      </c>
      <c r="AL11" s="47">
        <f>INDEX(Direct_Cost_Splits_Non_Ntwk,MATCH($G11,RIN_Asset_Cat_Non_Ntwk,0),MATCH($AJ$4,Direct_Cost_Type,0))*K11*HLOOKUP(AL$5,Escalators!$I$25:$U$30,6,FALSE)</f>
        <v>0</v>
      </c>
      <c r="AM11" s="47">
        <f>INDEX(Direct_Cost_Splits_Non_Ntwk,MATCH($G11,RIN_Asset_Cat_Non_Ntwk,0),MATCH($AJ$4,Direct_Cost_Type,0))*L11*HLOOKUP(AM$5,Escalators!$I$25:$U$30,6,FALSE)</f>
        <v>0</v>
      </c>
      <c r="AN11" s="47">
        <f>INDEX(Direct_Cost_Splits_Non_Ntwk,MATCH($G11,RIN_Asset_Cat_Non_Ntwk,0),MATCH($AJ$4,Direct_Cost_Type,0))*M11*HLOOKUP(AN$5,Escalators!$I$25:$U$30,6,FALSE)</f>
        <v>0</v>
      </c>
      <c r="AO11" s="47">
        <f>INDEX(Direct_Cost_Splits_Non_Ntwk,MATCH($G11,RIN_Asset_Cat_Non_Ntwk,0),MATCH($AJ$4,Direct_Cost_Type,0))*N11*HLOOKUP(AO$5,Escalators!$I$25:$U$30,6,FALSE)</f>
        <v>0</v>
      </c>
      <c r="AP11" s="47">
        <f>INDEX(Direct_Cost_Splits_Non_Ntwk,MATCH($G11,RIN_Asset_Cat_Non_Ntwk,0),MATCH($AJ$4,Direct_Cost_Type,0))*O11*HLOOKUP(AP$5,Escalators!$I$25:$U$30,6,FALSE)</f>
        <v>0</v>
      </c>
      <c r="AQ11" s="47">
        <f>INDEX(Direct_Cost_Splits_Non_Ntwk,MATCH($G11,RIN_Asset_Cat_Non_Ntwk,0),MATCH($AJ$4,Direct_Cost_Type,0))*P11*HLOOKUP(AQ$5,Escalators!$I$25:$U$30,6,FALSE)</f>
        <v>0</v>
      </c>
      <c r="AS11" s="47">
        <f t="shared" si="1"/>
        <v>0</v>
      </c>
      <c r="AT11" s="47">
        <f t="shared" si="1"/>
        <v>0</v>
      </c>
      <c r="AU11" s="47">
        <f t="shared" si="1"/>
        <v>0</v>
      </c>
      <c r="AV11" s="47">
        <f t="shared" si="1"/>
        <v>0</v>
      </c>
      <c r="AW11" s="47">
        <f t="shared" si="1"/>
        <v>0</v>
      </c>
      <c r="AX11" s="47">
        <f t="shared" si="1"/>
        <v>0</v>
      </c>
      <c r="AY11" s="47">
        <f t="shared" si="1"/>
        <v>0</v>
      </c>
      <c r="AZ11" s="47">
        <f t="shared" si="1"/>
        <v>0</v>
      </c>
      <c r="BB11" s="47">
        <f t="shared" si="2"/>
        <v>0</v>
      </c>
      <c r="BC11" s="47">
        <f t="shared" si="3"/>
        <v>0</v>
      </c>
      <c r="BD11" s="47">
        <f t="shared" si="4"/>
        <v>0</v>
      </c>
      <c r="BE11" s="47">
        <f t="shared" si="5"/>
        <v>0</v>
      </c>
      <c r="BF11" s="47">
        <f t="shared" si="6"/>
        <v>0</v>
      </c>
      <c r="BG11" s="47">
        <f t="shared" si="7"/>
        <v>0</v>
      </c>
      <c r="BH11" s="47">
        <f t="shared" si="8"/>
        <v>0</v>
      </c>
      <c r="BI11" s="47">
        <f t="shared" si="9"/>
        <v>0</v>
      </c>
      <c r="BK11" s="375">
        <f>BB11*RFM_PTRM!L$3</f>
        <v>0</v>
      </c>
      <c r="BL11" s="375">
        <f>BC11*RFM_PTRM!M$3</f>
        <v>0</v>
      </c>
      <c r="BM11" s="375">
        <f>BD11*RFM_PTRM!N$3</f>
        <v>0</v>
      </c>
      <c r="BN11" s="641" t="str">
        <f t="shared" si="10"/>
        <v>Non-network general assets - Other</v>
      </c>
    </row>
    <row r="12" spans="2:66" x14ac:dyDescent="0.3">
      <c r="B12" s="7"/>
      <c r="C12" s="7" t="s">
        <v>456</v>
      </c>
      <c r="D12" s="7"/>
      <c r="E12" s="7" t="s">
        <v>50</v>
      </c>
      <c r="F12" s="7" t="s">
        <v>50</v>
      </c>
      <c r="G12" s="7" t="s">
        <v>5</v>
      </c>
      <c r="H12" s="7" t="s">
        <v>340</v>
      </c>
      <c r="I12" s="45">
        <v>0</v>
      </c>
      <c r="J12" s="45">
        <v>0</v>
      </c>
      <c r="K12" s="45">
        <v>0</v>
      </c>
      <c r="L12" s="45">
        <v>1198.9570261455015</v>
      </c>
      <c r="M12" s="45">
        <v>1198.9570261455015</v>
      </c>
      <c r="N12" s="45">
        <v>1198.9570261455015</v>
      </c>
      <c r="O12" s="45">
        <v>1198.9570261455015</v>
      </c>
      <c r="P12" s="45">
        <v>1198.9570261455015</v>
      </c>
      <c r="R12" s="47">
        <f>INDEX(Direct_Cost_Splits_Non_Ntwk,MATCH($G12,RIN_Asset_Cat_Non_Ntwk,0),MATCH($R$4,Direct_Cost_Type,0))*I12*HLOOKUP(R$5,Escalators!$I$25:$U$30,3,FALSE)</f>
        <v>0</v>
      </c>
      <c r="S12" s="47">
        <f>INDEX(Direct_Cost_Splits_Non_Ntwk,MATCH($G12,RIN_Asset_Cat_Non_Ntwk,0),MATCH($R$4,Direct_Cost_Type,0))*J12*HLOOKUP(S$5,Escalators!$I$25:$U$30,3,FALSE)</f>
        <v>0</v>
      </c>
      <c r="T12" s="47">
        <f>INDEX(Direct_Cost_Splits_Non_Ntwk,MATCH($G12,RIN_Asset_Cat_Non_Ntwk,0),MATCH($R$4,Direct_Cost_Type,0))*K12*HLOOKUP(T$5,Escalators!$I$25:$U$30,3,FALSE)</f>
        <v>0</v>
      </c>
      <c r="U12" s="47">
        <f>INDEX(Direct_Cost_Splits_Non_Ntwk,MATCH($G12,RIN_Asset_Cat_Non_Ntwk,0),MATCH($R$4,Direct_Cost_Type,0))*L12*HLOOKUP(U$5,Escalators!$I$25:$U$30,3,FALSE)</f>
        <v>51.420301620547576</v>
      </c>
      <c r="V12" s="47">
        <f>INDEX(Direct_Cost_Splits_Non_Ntwk,MATCH($G12,RIN_Asset_Cat_Non_Ntwk,0),MATCH($R$4,Direct_Cost_Type,0))*M12*HLOOKUP(V$5,Escalators!$I$25:$U$30,3,FALSE)</f>
        <v>51.947882258215358</v>
      </c>
      <c r="W12" s="47">
        <f>INDEX(Direct_Cost_Splits_Non_Ntwk,MATCH($G12,RIN_Asset_Cat_Non_Ntwk,0),MATCH($R$4,Direct_Cost_Type,0))*N12*HLOOKUP(W$5,Escalators!$I$25:$U$30,3,FALSE)</f>
        <v>52.5070432859915</v>
      </c>
      <c r="X12" s="47">
        <f>INDEX(Direct_Cost_Splits_Non_Ntwk,MATCH($G12,RIN_Asset_Cat_Non_Ntwk,0),MATCH($R$4,Direct_Cost_Type,0))*O12*HLOOKUP(X$5,Escalators!$I$25:$U$30,3,FALSE)</f>
        <v>53.0035109925876</v>
      </c>
      <c r="Y12" s="47">
        <f>INDEX(Direct_Cost_Splits_Non_Ntwk,MATCH($G12,RIN_Asset_Cat_Non_Ntwk,0),MATCH($R$4,Direct_Cost_Type,0))*P12*HLOOKUP(Y$5,Escalators!$I$25:$U$30,3,FALSE)</f>
        <v>53.469941889322371</v>
      </c>
      <c r="AA12" s="47">
        <f t="shared" si="0"/>
        <v>0</v>
      </c>
      <c r="AB12" s="47">
        <f t="shared" si="0"/>
        <v>0</v>
      </c>
      <c r="AC12" s="47">
        <f t="shared" si="0"/>
        <v>0</v>
      </c>
      <c r="AD12" s="47">
        <f t="shared" si="0"/>
        <v>655.15385397267971</v>
      </c>
      <c r="AE12" s="47">
        <f t="shared" si="0"/>
        <v>655.15385397267971</v>
      </c>
      <c r="AF12" s="47">
        <f t="shared" si="0"/>
        <v>655.15385397267971</v>
      </c>
      <c r="AG12" s="47">
        <f t="shared" si="0"/>
        <v>655.15385397267971</v>
      </c>
      <c r="AH12" s="47">
        <f t="shared" si="0"/>
        <v>655.15385397267971</v>
      </c>
      <c r="AJ12" s="47">
        <f>INDEX(Direct_Cost_Splits_Non_Ntwk,MATCH($G12,RIN_Asset_Cat_Non_Ntwk,0),MATCH($AJ$4,Direct_Cost_Type,0))*I12*HLOOKUP(AJ$5,Escalators!$I$25:$U$30,6,FALSE)</f>
        <v>0</v>
      </c>
      <c r="AK12" s="47">
        <f>INDEX(Direct_Cost_Splits_Non_Ntwk,MATCH($G12,RIN_Asset_Cat_Non_Ntwk,0),MATCH($AJ$4,Direct_Cost_Type,0))*J12*HLOOKUP(AK$5,Escalators!$I$25:$U$30,6,FALSE)</f>
        <v>0</v>
      </c>
      <c r="AL12" s="47">
        <f>INDEX(Direct_Cost_Splits_Non_Ntwk,MATCH($G12,RIN_Asset_Cat_Non_Ntwk,0),MATCH($AJ$4,Direct_Cost_Type,0))*K12*HLOOKUP(AL$5,Escalators!$I$25:$U$30,6,FALSE)</f>
        <v>0</v>
      </c>
      <c r="AM12" s="47">
        <f>INDEX(Direct_Cost_Splits_Non_Ntwk,MATCH($G12,RIN_Asset_Cat_Non_Ntwk,0),MATCH($AJ$4,Direct_Cost_Type,0))*L12*HLOOKUP(AM$5,Escalators!$I$25:$U$30,6,FALSE)</f>
        <v>233.05059321753109</v>
      </c>
      <c r="AN12" s="47">
        <f>INDEX(Direct_Cost_Splits_Non_Ntwk,MATCH($G12,RIN_Asset_Cat_Non_Ntwk,0),MATCH($AJ$4,Direct_Cost_Type,0))*M12*HLOOKUP(AN$5,Escalators!$I$25:$U$30,6,FALSE)</f>
        <v>235.44173011684146</v>
      </c>
      <c r="AO12" s="47">
        <f>INDEX(Direct_Cost_Splits_Non_Ntwk,MATCH($G12,RIN_Asset_Cat_Non_Ntwk,0),MATCH($AJ$4,Direct_Cost_Type,0))*N12*HLOOKUP(AO$5,Escalators!$I$25:$U$30,6,FALSE)</f>
        <v>237.97599781112666</v>
      </c>
      <c r="AP12" s="47">
        <f>INDEX(Direct_Cost_Splits_Non_Ntwk,MATCH($G12,RIN_Asset_Cat_Non_Ntwk,0),MATCH($AJ$4,Direct_Cost_Type,0))*O12*HLOOKUP(AP$5,Escalators!$I$25:$U$30,6,FALSE)</f>
        <v>240.22612256514665</v>
      </c>
      <c r="AQ12" s="47">
        <f>INDEX(Direct_Cost_Splits_Non_Ntwk,MATCH($G12,RIN_Asset_Cat_Non_Ntwk,0),MATCH($AJ$4,Direct_Cost_Type,0))*P12*HLOOKUP(AQ$5,Escalators!$I$25:$U$30,6,FALSE)</f>
        <v>242.34011244371993</v>
      </c>
      <c r="AS12" s="47">
        <f t="shared" si="1"/>
        <v>0</v>
      </c>
      <c r="AT12" s="47">
        <f t="shared" si="1"/>
        <v>0</v>
      </c>
      <c r="AU12" s="47">
        <f t="shared" si="1"/>
        <v>0</v>
      </c>
      <c r="AV12" s="47">
        <f t="shared" si="1"/>
        <v>268.42400894416414</v>
      </c>
      <c r="AW12" s="47">
        <f t="shared" si="1"/>
        <v>268.42400894416414</v>
      </c>
      <c r="AX12" s="47">
        <f t="shared" si="1"/>
        <v>268.42400894416414</v>
      </c>
      <c r="AY12" s="47">
        <f t="shared" si="1"/>
        <v>268.42400894416414</v>
      </c>
      <c r="AZ12" s="47">
        <f t="shared" si="1"/>
        <v>268.42400894416414</v>
      </c>
      <c r="BB12" s="47">
        <f t="shared" si="2"/>
        <v>0</v>
      </c>
      <c r="BC12" s="47">
        <f t="shared" si="3"/>
        <v>0</v>
      </c>
      <c r="BD12" s="47">
        <f t="shared" si="4"/>
        <v>0</v>
      </c>
      <c r="BE12" s="47">
        <f t="shared" si="5"/>
        <v>1208.0487577549225</v>
      </c>
      <c r="BF12" s="47">
        <f t="shared" si="6"/>
        <v>1210.9674752919007</v>
      </c>
      <c r="BG12" s="47">
        <f t="shared" si="7"/>
        <v>1214.060904013962</v>
      </c>
      <c r="BH12" s="47">
        <f t="shared" si="8"/>
        <v>1216.8074964745781</v>
      </c>
      <c r="BI12" s="47">
        <f t="shared" si="9"/>
        <v>1219.3879172498862</v>
      </c>
      <c r="BK12" s="375">
        <f>BB12*RFM_PTRM!L$3</f>
        <v>0</v>
      </c>
      <c r="BL12" s="375">
        <f>BC12*RFM_PTRM!M$3</f>
        <v>0</v>
      </c>
      <c r="BM12" s="375">
        <f>BD12*RFM_PTRM!N$3</f>
        <v>0</v>
      </c>
      <c r="BN12" s="641" t="str">
        <f t="shared" si="10"/>
        <v>Non-network general assets - Other</v>
      </c>
    </row>
    <row r="13" spans="2:66" x14ac:dyDescent="0.3">
      <c r="B13" s="7"/>
      <c r="C13" s="7"/>
      <c r="D13" s="7"/>
      <c r="E13" s="7"/>
      <c r="F13" s="7"/>
      <c r="G13" s="7"/>
      <c r="H13" s="7"/>
      <c r="I13" s="45"/>
      <c r="J13" s="45"/>
      <c r="K13" s="45"/>
      <c r="L13" s="45"/>
      <c r="M13" s="45"/>
      <c r="N13" s="45"/>
      <c r="O13" s="45"/>
      <c r="P13" s="45"/>
      <c r="R13" s="47"/>
      <c r="S13" s="47"/>
      <c r="T13" s="47"/>
      <c r="U13" s="47"/>
      <c r="V13" s="47"/>
      <c r="W13" s="47"/>
      <c r="X13" s="47"/>
      <c r="Y13" s="47"/>
      <c r="AA13" s="47"/>
      <c r="AB13" s="47"/>
      <c r="AC13" s="47"/>
      <c r="AD13" s="47"/>
      <c r="AE13" s="47"/>
      <c r="AF13" s="47"/>
      <c r="AG13" s="47"/>
      <c r="AH13" s="47"/>
      <c r="AJ13" s="47"/>
      <c r="AK13" s="47"/>
      <c r="AL13" s="47"/>
      <c r="AM13" s="47"/>
      <c r="AN13" s="47"/>
      <c r="AO13" s="47"/>
      <c r="AP13" s="47"/>
      <c r="AQ13" s="47"/>
      <c r="AS13" s="47"/>
      <c r="AT13" s="47"/>
      <c r="AU13" s="47"/>
      <c r="AV13" s="47"/>
      <c r="AW13" s="47"/>
      <c r="AX13" s="47"/>
      <c r="AY13" s="47"/>
      <c r="AZ13" s="47"/>
      <c r="BB13" s="47">
        <f t="shared" si="2"/>
        <v>0</v>
      </c>
      <c r="BC13" s="47">
        <f t="shared" si="3"/>
        <v>0</v>
      </c>
      <c r="BD13" s="47">
        <f t="shared" si="4"/>
        <v>0</v>
      </c>
      <c r="BE13" s="47">
        <f t="shared" si="5"/>
        <v>0</v>
      </c>
      <c r="BF13" s="47">
        <f t="shared" si="6"/>
        <v>0</v>
      </c>
      <c r="BG13" s="47">
        <f t="shared" si="7"/>
        <v>0</v>
      </c>
      <c r="BH13" s="47">
        <f t="shared" si="8"/>
        <v>0</v>
      </c>
      <c r="BI13" s="47">
        <f t="shared" si="9"/>
        <v>0</v>
      </c>
      <c r="BK13" s="375">
        <f>BB13*RFM_PTRM!L$3</f>
        <v>0</v>
      </c>
      <c r="BL13" s="375">
        <f>BC13*RFM_PTRM!M$3</f>
        <v>0</v>
      </c>
      <c r="BM13" s="375">
        <f>BD13*RFM_PTRM!N$3</f>
        <v>0</v>
      </c>
      <c r="BN13" s="641">
        <f t="shared" si="10"/>
        <v>0</v>
      </c>
    </row>
    <row r="14" spans="2:66" x14ac:dyDescent="0.3">
      <c r="B14" s="7"/>
      <c r="C14" s="7" t="s">
        <v>591</v>
      </c>
      <c r="D14" s="7"/>
      <c r="E14" s="7" t="s">
        <v>590</v>
      </c>
      <c r="F14" s="7" t="s">
        <v>50</v>
      </c>
      <c r="G14" s="7" t="s">
        <v>163</v>
      </c>
      <c r="H14" s="7" t="s">
        <v>339</v>
      </c>
      <c r="I14" s="45">
        <v>31084.734063994812</v>
      </c>
      <c r="J14" s="45">
        <v>319.59296496063007</v>
      </c>
      <c r="K14" s="45">
        <v>152.21789856580605</v>
      </c>
      <c r="L14" s="45">
        <v>1240.1278634824585</v>
      </c>
      <c r="M14" s="45">
        <v>0</v>
      </c>
      <c r="N14" s="45">
        <v>0</v>
      </c>
      <c r="O14" s="45">
        <v>0</v>
      </c>
      <c r="P14" s="45">
        <v>4601.6493504988621</v>
      </c>
      <c r="R14" s="47">
        <v>0</v>
      </c>
      <c r="S14" s="47">
        <v>0</v>
      </c>
      <c r="T14" s="47">
        <v>0</v>
      </c>
      <c r="U14" s="47">
        <v>0</v>
      </c>
      <c r="V14" s="47">
        <v>0</v>
      </c>
      <c r="W14" s="47">
        <v>0</v>
      </c>
      <c r="X14" s="47">
        <v>0</v>
      </c>
      <c r="Y14" s="47">
        <v>0</v>
      </c>
      <c r="AA14" s="47">
        <v>0</v>
      </c>
      <c r="AB14" s="47">
        <v>0</v>
      </c>
      <c r="AC14" s="47">
        <v>0</v>
      </c>
      <c r="AD14" s="47">
        <v>0</v>
      </c>
      <c r="AE14" s="47">
        <v>0</v>
      </c>
      <c r="AF14" s="47">
        <v>0</v>
      </c>
      <c r="AG14" s="47">
        <v>0</v>
      </c>
      <c r="AH14" s="47">
        <v>0</v>
      </c>
      <c r="AJ14" s="47">
        <v>0</v>
      </c>
      <c r="AK14" s="47">
        <v>0</v>
      </c>
      <c r="AL14" s="47">
        <v>0</v>
      </c>
      <c r="AM14" s="47">
        <v>0</v>
      </c>
      <c r="AN14" s="47">
        <v>0</v>
      </c>
      <c r="AO14" s="47">
        <v>0</v>
      </c>
      <c r="AP14" s="47">
        <v>0</v>
      </c>
      <c r="AQ14" s="47">
        <v>0</v>
      </c>
      <c r="AS14" s="47">
        <f>I14</f>
        <v>31084.734063994812</v>
      </c>
      <c r="AT14" s="47">
        <f t="shared" ref="AT14:AZ14" si="11">J14</f>
        <v>319.59296496063007</v>
      </c>
      <c r="AU14" s="47">
        <f t="shared" si="11"/>
        <v>152.21789856580605</v>
      </c>
      <c r="AV14" s="47">
        <f t="shared" si="11"/>
        <v>1240.1278634824585</v>
      </c>
      <c r="AW14" s="47">
        <f t="shared" si="11"/>
        <v>0</v>
      </c>
      <c r="AX14" s="47">
        <f t="shared" si="11"/>
        <v>0</v>
      </c>
      <c r="AY14" s="47">
        <f t="shared" si="11"/>
        <v>0</v>
      </c>
      <c r="AZ14" s="47">
        <f t="shared" si="11"/>
        <v>4601.6493504988621</v>
      </c>
      <c r="BB14" s="47">
        <f>R14+AA14+AJ14+AS14</f>
        <v>31084.734063994812</v>
      </c>
      <c r="BC14" s="47">
        <f t="shared" si="3"/>
        <v>319.59296496063007</v>
      </c>
      <c r="BD14" s="47">
        <f t="shared" si="4"/>
        <v>152.21789856580605</v>
      </c>
      <c r="BE14" s="47">
        <f t="shared" si="5"/>
        <v>1240.1278634824585</v>
      </c>
      <c r="BF14" s="47">
        <f t="shared" si="6"/>
        <v>0</v>
      </c>
      <c r="BG14" s="47">
        <f t="shared" si="7"/>
        <v>0</v>
      </c>
      <c r="BH14" s="47">
        <f t="shared" si="8"/>
        <v>0</v>
      </c>
      <c r="BI14" s="47">
        <f t="shared" si="9"/>
        <v>4601.6493504988621</v>
      </c>
      <c r="BK14" s="375">
        <f>BB14*RFM_PTRM!L$3</f>
        <v>31730.577680500577</v>
      </c>
      <c r="BL14" s="375">
        <f>BC14*RFM_PTRM!M$3</f>
        <v>331.42974144065346</v>
      </c>
      <c r="BM14" s="375">
        <f>BD14*RFM_PTRM!N$3</f>
        <v>161.01271048294154</v>
      </c>
      <c r="BN14" s="641" t="str">
        <f t="shared" si="10"/>
        <v>Non-Network Leasehold Land &amp; Buildings</v>
      </c>
    </row>
    <row r="15" spans="2:66" x14ac:dyDescent="0.3">
      <c r="B15" s="7"/>
      <c r="C15" s="7"/>
      <c r="D15" s="7"/>
      <c r="E15" s="7"/>
      <c r="F15" s="7"/>
      <c r="G15" s="7"/>
      <c r="H15" s="7"/>
      <c r="I15" s="45"/>
      <c r="J15" s="45"/>
      <c r="K15" s="45"/>
      <c r="L15" s="45"/>
      <c r="M15" s="45"/>
      <c r="N15" s="45"/>
      <c r="O15" s="45"/>
      <c r="P15" s="45"/>
      <c r="R15" s="47"/>
      <c r="S15" s="47"/>
      <c r="T15" s="47"/>
      <c r="U15" s="47"/>
      <c r="V15" s="47"/>
      <c r="W15" s="47"/>
      <c r="X15" s="47"/>
      <c r="Y15" s="47"/>
      <c r="AA15" s="47"/>
      <c r="AB15" s="47"/>
      <c r="AC15" s="47"/>
      <c r="AD15" s="47"/>
      <c r="AE15" s="47"/>
      <c r="AF15" s="47"/>
      <c r="AG15" s="47"/>
      <c r="AH15" s="47"/>
      <c r="AJ15" s="47"/>
      <c r="AK15" s="47"/>
      <c r="AL15" s="47"/>
      <c r="AM15" s="47"/>
      <c r="AN15" s="47"/>
      <c r="AO15" s="47"/>
      <c r="AP15" s="47"/>
      <c r="AQ15" s="47"/>
      <c r="AS15" s="47"/>
      <c r="AT15" s="47"/>
      <c r="AU15" s="47"/>
      <c r="AV15" s="47"/>
      <c r="AW15" s="47"/>
      <c r="AX15" s="47"/>
      <c r="AY15" s="47"/>
      <c r="AZ15" s="47"/>
      <c r="BB15" s="373"/>
      <c r="BC15" s="47"/>
      <c r="BD15" s="47"/>
      <c r="BE15" s="47"/>
      <c r="BF15" s="47"/>
      <c r="BG15" s="47"/>
      <c r="BH15" s="47"/>
      <c r="BI15" s="47"/>
      <c r="BK15" s="6"/>
      <c r="BL15" s="6"/>
      <c r="BM15" s="6"/>
    </row>
    <row r="16" spans="2:66" x14ac:dyDescent="0.3">
      <c r="B16" s="7"/>
      <c r="C16" s="7"/>
      <c r="D16" s="7"/>
      <c r="E16" s="7"/>
      <c r="F16" s="7"/>
      <c r="G16" s="7"/>
      <c r="H16" s="7"/>
      <c r="I16" s="45"/>
      <c r="J16" s="45"/>
      <c r="K16" s="45"/>
      <c r="L16" s="45"/>
      <c r="M16" s="45"/>
      <c r="N16" s="45"/>
      <c r="O16" s="45"/>
      <c r="P16" s="45"/>
      <c r="R16" s="47"/>
      <c r="S16" s="47"/>
      <c r="T16" s="47"/>
      <c r="U16" s="47"/>
      <c r="V16" s="47"/>
      <c r="W16" s="47"/>
      <c r="X16" s="47"/>
      <c r="Y16" s="47"/>
      <c r="AA16" s="47"/>
      <c r="AB16" s="47"/>
      <c r="AC16" s="47"/>
      <c r="AD16" s="47"/>
      <c r="AE16" s="47"/>
      <c r="AF16" s="47"/>
      <c r="AG16" s="47"/>
      <c r="AH16" s="47"/>
      <c r="AJ16" s="47"/>
      <c r="AK16" s="47"/>
      <c r="AL16" s="47"/>
      <c r="AM16" s="47"/>
      <c r="AN16" s="47"/>
      <c r="AO16" s="47"/>
      <c r="AP16" s="47"/>
      <c r="AQ16" s="47"/>
      <c r="AS16" s="47"/>
      <c r="AT16" s="47"/>
      <c r="AU16" s="47"/>
      <c r="AV16" s="47"/>
      <c r="AW16" s="47"/>
      <c r="AX16" s="47"/>
      <c r="AY16" s="47"/>
      <c r="AZ16" s="47"/>
      <c r="BB16" s="373"/>
      <c r="BC16" s="47"/>
      <c r="BD16" s="47"/>
      <c r="BE16" s="47"/>
      <c r="BF16" s="47"/>
      <c r="BG16" s="47"/>
      <c r="BH16" s="47"/>
      <c r="BI16" s="47"/>
      <c r="BK16" s="6"/>
      <c r="BL16" s="6"/>
      <c r="BM16" s="6"/>
    </row>
    <row r="17" spans="2:65" x14ac:dyDescent="0.3">
      <c r="B17" s="7"/>
      <c r="C17" s="7"/>
      <c r="D17" s="7"/>
      <c r="E17" s="7"/>
      <c r="F17" s="7"/>
      <c r="G17" s="7"/>
      <c r="H17" s="7"/>
      <c r="I17" s="45"/>
      <c r="J17" s="45"/>
      <c r="K17" s="45"/>
      <c r="L17" s="45"/>
      <c r="M17" s="45"/>
      <c r="N17" s="45"/>
      <c r="O17" s="45"/>
      <c r="P17" s="45"/>
      <c r="R17" s="47"/>
      <c r="S17" s="47"/>
      <c r="T17" s="47"/>
      <c r="U17" s="47"/>
      <c r="V17" s="47"/>
      <c r="W17" s="47"/>
      <c r="X17" s="47"/>
      <c r="Y17" s="47"/>
      <c r="AA17" s="47"/>
      <c r="AB17" s="47"/>
      <c r="AC17" s="47"/>
      <c r="AD17" s="47"/>
      <c r="AE17" s="47"/>
      <c r="AF17" s="47"/>
      <c r="AG17" s="47"/>
      <c r="AH17" s="47"/>
      <c r="AJ17" s="47"/>
      <c r="AK17" s="47"/>
      <c r="AL17" s="47"/>
      <c r="AM17" s="47"/>
      <c r="AN17" s="47"/>
      <c r="AO17" s="47"/>
      <c r="AP17" s="47"/>
      <c r="AQ17" s="47"/>
      <c r="AS17" s="47"/>
      <c r="AT17" s="47"/>
      <c r="AU17" s="47"/>
      <c r="AV17" s="47"/>
      <c r="AW17" s="47"/>
      <c r="AX17" s="47"/>
      <c r="AY17" s="47"/>
      <c r="AZ17" s="47"/>
      <c r="BB17" s="373"/>
      <c r="BC17" s="47"/>
      <c r="BD17" s="47"/>
      <c r="BE17" s="47"/>
      <c r="BF17" s="47"/>
      <c r="BG17" s="47"/>
      <c r="BH17" s="47"/>
      <c r="BI17" s="47"/>
      <c r="BK17" s="6"/>
      <c r="BL17" s="6"/>
      <c r="BM17" s="6"/>
    </row>
    <row r="18" spans="2:65" x14ac:dyDescent="0.3">
      <c r="B18" s="7"/>
      <c r="C18" s="7"/>
      <c r="D18" s="7"/>
      <c r="E18" s="7"/>
      <c r="F18" s="7"/>
      <c r="G18" s="7"/>
      <c r="H18" s="7"/>
      <c r="I18" s="45"/>
      <c r="J18" s="45"/>
      <c r="K18" s="45"/>
      <c r="L18" s="45"/>
      <c r="M18" s="45"/>
      <c r="N18" s="45"/>
      <c r="O18" s="45"/>
      <c r="P18" s="45"/>
      <c r="R18" s="47"/>
      <c r="S18" s="47"/>
      <c r="T18" s="47"/>
      <c r="U18" s="47"/>
      <c r="V18" s="47"/>
      <c r="W18" s="47"/>
      <c r="X18" s="47"/>
      <c r="Y18" s="47"/>
      <c r="AA18" s="47"/>
      <c r="AB18" s="47"/>
      <c r="AC18" s="47"/>
      <c r="AD18" s="47"/>
      <c r="AE18" s="47"/>
      <c r="AF18" s="47"/>
      <c r="AG18" s="47"/>
      <c r="AH18" s="47"/>
      <c r="AJ18" s="47"/>
      <c r="AK18" s="47"/>
      <c r="AL18" s="47"/>
      <c r="AM18" s="47"/>
      <c r="AN18" s="47"/>
      <c r="AO18" s="47"/>
      <c r="AP18" s="47"/>
      <c r="AQ18" s="47"/>
      <c r="AS18" s="47"/>
      <c r="AT18" s="47"/>
      <c r="AU18" s="47"/>
      <c r="AV18" s="47"/>
      <c r="AW18" s="47"/>
      <c r="AX18" s="47"/>
      <c r="AY18" s="47"/>
      <c r="AZ18" s="47"/>
      <c r="BB18" s="373"/>
      <c r="BC18" s="47"/>
      <c r="BD18" s="47"/>
      <c r="BE18" s="47"/>
      <c r="BF18" s="47"/>
      <c r="BG18" s="47"/>
      <c r="BH18" s="47"/>
      <c r="BI18" s="47"/>
      <c r="BK18" s="6"/>
      <c r="BL18" s="6"/>
      <c r="BM18" s="6"/>
    </row>
    <row r="19" spans="2:65" x14ac:dyDescent="0.3">
      <c r="B19" s="7"/>
      <c r="C19" s="7"/>
      <c r="D19" s="7"/>
      <c r="E19" s="7"/>
      <c r="F19" s="7"/>
      <c r="G19" s="7"/>
      <c r="H19" s="7"/>
      <c r="I19" s="45"/>
      <c r="J19" s="45"/>
      <c r="K19" s="45"/>
      <c r="L19" s="45"/>
      <c r="M19" s="45"/>
      <c r="N19" s="45"/>
      <c r="O19" s="45"/>
      <c r="P19" s="45"/>
      <c r="R19" s="47"/>
      <c r="S19" s="47"/>
      <c r="T19" s="47"/>
      <c r="U19" s="47"/>
      <c r="V19" s="47"/>
      <c r="W19" s="47"/>
      <c r="X19" s="47"/>
      <c r="Y19" s="47"/>
      <c r="AA19" s="47"/>
      <c r="AB19" s="47"/>
      <c r="AC19" s="47"/>
      <c r="AD19" s="47"/>
      <c r="AE19" s="47"/>
      <c r="AF19" s="47"/>
      <c r="AG19" s="47"/>
      <c r="AH19" s="47"/>
      <c r="AJ19" s="47"/>
      <c r="AK19" s="47"/>
      <c r="AL19" s="47"/>
      <c r="AM19" s="47"/>
      <c r="AN19" s="47"/>
      <c r="AO19" s="47"/>
      <c r="AP19" s="47"/>
      <c r="AQ19" s="47"/>
      <c r="AS19" s="47"/>
      <c r="AT19" s="47"/>
      <c r="AU19" s="47"/>
      <c r="AV19" s="47"/>
      <c r="AW19" s="47"/>
      <c r="AX19" s="47"/>
      <c r="AY19" s="47"/>
      <c r="AZ19" s="47"/>
      <c r="BB19" s="373"/>
      <c r="BC19" s="47"/>
      <c r="BD19" s="47"/>
      <c r="BE19" s="47"/>
      <c r="BF19" s="47"/>
      <c r="BG19" s="47"/>
      <c r="BH19" s="47"/>
      <c r="BI19" s="47"/>
      <c r="BK19" s="6"/>
      <c r="BL19" s="6"/>
      <c r="BM19" s="6"/>
    </row>
    <row r="20" spans="2:65" x14ac:dyDescent="0.3">
      <c r="B20" s="7"/>
      <c r="C20" s="7"/>
      <c r="D20" s="7"/>
      <c r="E20" s="7"/>
      <c r="F20" s="7"/>
      <c r="G20" s="7"/>
      <c r="H20" s="7"/>
      <c r="I20" s="45"/>
      <c r="J20" s="45"/>
      <c r="K20" s="45"/>
      <c r="L20" s="45"/>
      <c r="M20" s="45"/>
      <c r="N20" s="45"/>
      <c r="O20" s="45"/>
      <c r="P20" s="45"/>
      <c r="R20" s="47"/>
      <c r="S20" s="47"/>
      <c r="T20" s="47"/>
      <c r="U20" s="47"/>
      <c r="V20" s="47"/>
      <c r="W20" s="47"/>
      <c r="X20" s="47"/>
      <c r="Y20" s="47"/>
      <c r="AA20" s="47"/>
      <c r="AB20" s="47"/>
      <c r="AC20" s="47"/>
      <c r="AD20" s="47"/>
      <c r="AE20" s="47"/>
      <c r="AF20" s="47"/>
      <c r="AG20" s="47"/>
      <c r="AH20" s="47"/>
      <c r="AJ20" s="47"/>
      <c r="AK20" s="47"/>
      <c r="AL20" s="47"/>
      <c r="AM20" s="47"/>
      <c r="AN20" s="47"/>
      <c r="AO20" s="47"/>
      <c r="AP20" s="47"/>
      <c r="AQ20" s="47"/>
      <c r="AS20" s="47"/>
      <c r="AT20" s="47"/>
      <c r="AU20" s="47"/>
      <c r="AV20" s="47"/>
      <c r="AW20" s="47"/>
      <c r="AX20" s="47"/>
      <c r="AY20" s="47"/>
      <c r="AZ20" s="47"/>
      <c r="BB20" s="373"/>
      <c r="BC20" s="47"/>
      <c r="BD20" s="47"/>
      <c r="BE20" s="47"/>
      <c r="BF20" s="47"/>
      <c r="BG20" s="47"/>
      <c r="BH20" s="47"/>
      <c r="BI20" s="47"/>
      <c r="BK20" s="6"/>
      <c r="BL20" s="6"/>
      <c r="BM20" s="6"/>
    </row>
    <row r="21" spans="2:65" x14ac:dyDescent="0.3">
      <c r="B21" s="7"/>
      <c r="C21" s="7"/>
      <c r="D21" s="7"/>
      <c r="E21" s="7"/>
      <c r="F21" s="7"/>
      <c r="G21" s="7"/>
      <c r="H21" s="7"/>
      <c r="I21" s="45"/>
      <c r="J21" s="45"/>
      <c r="K21" s="45"/>
      <c r="L21" s="45"/>
      <c r="M21" s="45"/>
      <c r="N21" s="45"/>
      <c r="O21" s="45"/>
      <c r="P21" s="45"/>
      <c r="R21" s="47"/>
      <c r="S21" s="47"/>
      <c r="T21" s="47"/>
      <c r="U21" s="47"/>
      <c r="V21" s="47"/>
      <c r="W21" s="47"/>
      <c r="X21" s="47"/>
      <c r="Y21" s="47"/>
      <c r="AA21" s="47"/>
      <c r="AB21" s="47"/>
      <c r="AC21" s="47"/>
      <c r="AD21" s="47"/>
      <c r="AE21" s="47"/>
      <c r="AF21" s="47"/>
      <c r="AG21" s="47"/>
      <c r="AH21" s="47"/>
      <c r="AJ21" s="47"/>
      <c r="AK21" s="47"/>
      <c r="AL21" s="47"/>
      <c r="AM21" s="47"/>
      <c r="AN21" s="47"/>
      <c r="AO21" s="47"/>
      <c r="AP21" s="47"/>
      <c r="AQ21" s="47"/>
      <c r="AS21" s="47"/>
      <c r="AT21" s="47"/>
      <c r="AU21" s="47"/>
      <c r="AV21" s="47"/>
      <c r="AW21" s="47"/>
      <c r="AX21" s="47"/>
      <c r="AY21" s="47"/>
      <c r="AZ21" s="47"/>
      <c r="BB21" s="373"/>
      <c r="BC21" s="47"/>
      <c r="BD21" s="47"/>
      <c r="BE21" s="47"/>
      <c r="BF21" s="47"/>
      <c r="BG21" s="47"/>
      <c r="BH21" s="47"/>
      <c r="BI21" s="47"/>
      <c r="BK21" s="6"/>
      <c r="BL21" s="6"/>
      <c r="BM21" s="6"/>
    </row>
    <row r="22" spans="2:65" x14ac:dyDescent="0.3">
      <c r="B22" s="7"/>
      <c r="C22" s="7"/>
      <c r="D22" s="7"/>
      <c r="E22" s="7"/>
      <c r="F22" s="7"/>
      <c r="G22" s="7"/>
      <c r="H22" s="7"/>
      <c r="I22" s="45"/>
      <c r="J22" s="45"/>
      <c r="K22" s="45"/>
      <c r="L22" s="45"/>
      <c r="M22" s="45"/>
      <c r="N22" s="45"/>
      <c r="O22" s="45"/>
      <c r="P22" s="45"/>
      <c r="R22" s="47"/>
      <c r="S22" s="47"/>
      <c r="T22" s="47"/>
      <c r="U22" s="47"/>
      <c r="V22" s="47"/>
      <c r="W22" s="47"/>
      <c r="X22" s="47"/>
      <c r="Y22" s="47"/>
      <c r="AA22" s="47"/>
      <c r="AB22" s="47"/>
      <c r="AC22" s="47"/>
      <c r="AD22" s="47"/>
      <c r="AE22" s="47"/>
      <c r="AF22" s="47"/>
      <c r="AG22" s="47"/>
      <c r="AH22" s="47"/>
      <c r="AJ22" s="47"/>
      <c r="AK22" s="47"/>
      <c r="AL22" s="47"/>
      <c r="AM22" s="47"/>
      <c r="AN22" s="47"/>
      <c r="AO22" s="47"/>
      <c r="AP22" s="47"/>
      <c r="AQ22" s="47"/>
      <c r="AS22" s="47"/>
      <c r="AT22" s="47"/>
      <c r="AU22" s="47"/>
      <c r="AV22" s="47"/>
      <c r="AW22" s="47"/>
      <c r="AX22" s="47"/>
      <c r="AY22" s="47"/>
      <c r="AZ22" s="47"/>
      <c r="BB22" s="373"/>
      <c r="BC22" s="47"/>
      <c r="BD22" s="47"/>
      <c r="BE22" s="47"/>
      <c r="BF22" s="47"/>
      <c r="BG22" s="47"/>
      <c r="BH22" s="47"/>
      <c r="BI22" s="47"/>
      <c r="BK22" s="6"/>
      <c r="BL22" s="6"/>
      <c r="BM22" s="6"/>
    </row>
    <row r="23" spans="2:65" x14ac:dyDescent="0.3">
      <c r="B23" s="7"/>
      <c r="C23" s="7"/>
      <c r="D23" s="7"/>
      <c r="E23" s="7"/>
      <c r="F23" s="7"/>
      <c r="G23" s="7"/>
      <c r="H23" s="7"/>
      <c r="I23" s="45"/>
      <c r="J23" s="45"/>
      <c r="K23" s="45"/>
      <c r="L23" s="45"/>
      <c r="M23" s="45"/>
      <c r="N23" s="45"/>
      <c r="O23" s="45"/>
      <c r="P23" s="45"/>
      <c r="R23" s="47"/>
      <c r="S23" s="47"/>
      <c r="T23" s="47"/>
      <c r="U23" s="47"/>
      <c r="V23" s="47"/>
      <c r="W23" s="47"/>
      <c r="X23" s="47"/>
      <c r="Y23" s="47"/>
      <c r="AA23" s="47"/>
      <c r="AB23" s="47"/>
      <c r="AC23" s="47"/>
      <c r="AD23" s="47"/>
      <c r="AE23" s="47"/>
      <c r="AF23" s="47"/>
      <c r="AG23" s="47"/>
      <c r="AH23" s="47"/>
      <c r="AJ23" s="47"/>
      <c r="AK23" s="47"/>
      <c r="AL23" s="47"/>
      <c r="AM23" s="47"/>
      <c r="AN23" s="47"/>
      <c r="AO23" s="47"/>
      <c r="AP23" s="47"/>
      <c r="AQ23" s="47"/>
      <c r="AS23" s="47"/>
      <c r="AT23" s="47"/>
      <c r="AU23" s="47"/>
      <c r="AV23" s="47"/>
      <c r="AW23" s="47"/>
      <c r="AX23" s="47"/>
      <c r="AY23" s="47"/>
      <c r="AZ23" s="47"/>
      <c r="BB23" s="373"/>
      <c r="BC23" s="47"/>
      <c r="BD23" s="47"/>
      <c r="BE23" s="47"/>
      <c r="BF23" s="47"/>
      <c r="BG23" s="47"/>
      <c r="BH23" s="47"/>
      <c r="BI23" s="47"/>
      <c r="BK23" s="6"/>
      <c r="BL23" s="6"/>
      <c r="BM23" s="6"/>
    </row>
    <row r="24" spans="2:65" x14ac:dyDescent="0.3">
      <c r="B24" s="7"/>
      <c r="C24" s="7"/>
      <c r="D24" s="7"/>
      <c r="E24" s="7"/>
      <c r="F24" s="7"/>
      <c r="G24" s="7"/>
      <c r="H24" s="7"/>
      <c r="I24" s="45"/>
      <c r="J24" s="45"/>
      <c r="K24" s="45"/>
      <c r="L24" s="45"/>
      <c r="M24" s="45"/>
      <c r="N24" s="45"/>
      <c r="O24" s="45"/>
      <c r="P24" s="45"/>
      <c r="R24" s="47"/>
      <c r="S24" s="47"/>
      <c r="T24" s="47"/>
      <c r="U24" s="47"/>
      <c r="V24" s="47"/>
      <c r="W24" s="47"/>
      <c r="X24" s="47"/>
      <c r="Y24" s="47"/>
      <c r="AA24" s="47"/>
      <c r="AB24" s="47"/>
      <c r="AC24" s="47"/>
      <c r="AD24" s="47"/>
      <c r="AE24" s="47"/>
      <c r="AF24" s="47"/>
      <c r="AG24" s="47"/>
      <c r="AH24" s="47"/>
      <c r="AJ24" s="47"/>
      <c r="AK24" s="47"/>
      <c r="AL24" s="47"/>
      <c r="AM24" s="47"/>
      <c r="AN24" s="47"/>
      <c r="AO24" s="47"/>
      <c r="AP24" s="47"/>
      <c r="AQ24" s="47"/>
      <c r="AS24" s="47"/>
      <c r="AT24" s="47"/>
      <c r="AU24" s="47"/>
      <c r="AV24" s="47"/>
      <c r="AW24" s="47"/>
      <c r="AX24" s="47"/>
      <c r="AY24" s="47"/>
      <c r="AZ24" s="47"/>
      <c r="BB24" s="373"/>
      <c r="BC24" s="47"/>
      <c r="BD24" s="47"/>
      <c r="BE24" s="47"/>
      <c r="BF24" s="47"/>
      <c r="BG24" s="47"/>
      <c r="BH24" s="47"/>
      <c r="BI24" s="47"/>
      <c r="BK24" s="6"/>
      <c r="BL24" s="6"/>
      <c r="BM24" s="6"/>
    </row>
    <row r="25" spans="2:65" x14ac:dyDescent="0.3">
      <c r="B25" s="7"/>
      <c r="C25" s="7"/>
      <c r="D25" s="7"/>
      <c r="E25" s="7"/>
      <c r="F25" s="7"/>
      <c r="G25" s="7"/>
      <c r="H25" s="7"/>
      <c r="I25" s="45"/>
      <c r="J25" s="45"/>
      <c r="K25" s="45"/>
      <c r="L25" s="45"/>
      <c r="M25" s="45"/>
      <c r="N25" s="45"/>
      <c r="O25" s="45"/>
      <c r="P25" s="45"/>
      <c r="R25" s="47"/>
      <c r="S25" s="47"/>
      <c r="T25" s="47"/>
      <c r="U25" s="47"/>
      <c r="V25" s="47"/>
      <c r="W25" s="47"/>
      <c r="X25" s="47"/>
      <c r="Y25" s="47"/>
      <c r="AA25" s="47"/>
      <c r="AB25" s="47"/>
      <c r="AC25" s="47"/>
      <c r="AD25" s="47"/>
      <c r="AE25" s="47"/>
      <c r="AF25" s="47"/>
      <c r="AG25" s="47"/>
      <c r="AH25" s="47"/>
      <c r="AJ25" s="47"/>
      <c r="AK25" s="47"/>
      <c r="AL25" s="47"/>
      <c r="AM25" s="47"/>
      <c r="AN25" s="47"/>
      <c r="AO25" s="47"/>
      <c r="AP25" s="47"/>
      <c r="AQ25" s="47"/>
      <c r="AS25" s="47"/>
      <c r="AT25" s="47"/>
      <c r="AU25" s="47"/>
      <c r="AV25" s="47"/>
      <c r="AW25" s="47"/>
      <c r="AX25" s="47"/>
      <c r="AY25" s="47"/>
      <c r="AZ25" s="47"/>
      <c r="BB25" s="373"/>
      <c r="BC25" s="47"/>
      <c r="BD25" s="47"/>
      <c r="BE25" s="47"/>
      <c r="BF25" s="47"/>
      <c r="BG25" s="47"/>
      <c r="BH25" s="47"/>
      <c r="BI25" s="47"/>
      <c r="BK25" s="6"/>
      <c r="BL25" s="6"/>
      <c r="BM25" s="6"/>
    </row>
    <row r="26" spans="2:65" x14ac:dyDescent="0.3">
      <c r="B26" s="7"/>
      <c r="C26" s="7"/>
      <c r="D26" s="7"/>
      <c r="E26" s="7"/>
      <c r="F26" s="7"/>
      <c r="G26" s="7"/>
      <c r="H26" s="7"/>
      <c r="I26" s="45"/>
      <c r="J26" s="45"/>
      <c r="K26" s="45"/>
      <c r="L26" s="45"/>
      <c r="M26" s="45"/>
      <c r="N26" s="45"/>
      <c r="O26" s="45"/>
      <c r="P26" s="45"/>
      <c r="R26" s="47"/>
      <c r="S26" s="47"/>
      <c r="T26" s="47"/>
      <c r="U26" s="47"/>
      <c r="V26" s="47"/>
      <c r="W26" s="47"/>
      <c r="X26" s="47"/>
      <c r="Y26" s="47"/>
      <c r="AA26" s="47"/>
      <c r="AB26" s="47"/>
      <c r="AC26" s="47"/>
      <c r="AD26" s="47"/>
      <c r="AE26" s="47"/>
      <c r="AF26" s="47"/>
      <c r="AG26" s="47"/>
      <c r="AH26" s="47"/>
      <c r="AJ26" s="47"/>
      <c r="AK26" s="47"/>
      <c r="AL26" s="47"/>
      <c r="AM26" s="47"/>
      <c r="AN26" s="47"/>
      <c r="AO26" s="47"/>
      <c r="AP26" s="47"/>
      <c r="AQ26" s="47"/>
      <c r="AS26" s="47"/>
      <c r="AT26" s="47"/>
      <c r="AU26" s="47"/>
      <c r="AV26" s="47"/>
      <c r="AW26" s="47"/>
      <c r="AX26" s="47"/>
      <c r="AY26" s="47"/>
      <c r="AZ26" s="47"/>
      <c r="BB26" s="373"/>
      <c r="BC26" s="47"/>
      <c r="BD26" s="47"/>
      <c r="BE26" s="47"/>
      <c r="BF26" s="47"/>
      <c r="BG26" s="47"/>
      <c r="BH26" s="47"/>
      <c r="BI26" s="47"/>
      <c r="BK26" s="6"/>
      <c r="BL26" s="6"/>
      <c r="BM26" s="6"/>
    </row>
    <row r="27" spans="2:65" x14ac:dyDescent="0.3">
      <c r="B27" s="7"/>
      <c r="C27" s="7"/>
      <c r="D27" s="7"/>
      <c r="E27" s="7"/>
      <c r="F27" s="7"/>
      <c r="G27" s="7"/>
      <c r="H27" s="7"/>
      <c r="I27" s="45"/>
      <c r="J27" s="45"/>
      <c r="K27" s="45"/>
      <c r="L27" s="45"/>
      <c r="M27" s="45"/>
      <c r="N27" s="45"/>
      <c r="O27" s="45"/>
      <c r="P27" s="45"/>
      <c r="R27" s="47"/>
      <c r="S27" s="47"/>
      <c r="T27" s="47"/>
      <c r="U27" s="47"/>
      <c r="V27" s="47"/>
      <c r="W27" s="47"/>
      <c r="X27" s="47"/>
      <c r="Y27" s="47"/>
      <c r="AA27" s="47"/>
      <c r="AB27" s="47"/>
      <c r="AC27" s="47"/>
      <c r="AD27" s="47"/>
      <c r="AE27" s="47"/>
      <c r="AF27" s="47"/>
      <c r="AG27" s="47"/>
      <c r="AH27" s="47"/>
      <c r="AJ27" s="47"/>
      <c r="AK27" s="47"/>
      <c r="AL27" s="47"/>
      <c r="AM27" s="47"/>
      <c r="AN27" s="47"/>
      <c r="AO27" s="47"/>
      <c r="AP27" s="47"/>
      <c r="AQ27" s="47"/>
      <c r="AS27" s="47"/>
      <c r="AT27" s="47"/>
      <c r="AU27" s="47"/>
      <c r="AV27" s="47"/>
      <c r="AW27" s="47"/>
      <c r="AX27" s="47"/>
      <c r="AY27" s="47"/>
      <c r="AZ27" s="47"/>
      <c r="BB27" s="373"/>
      <c r="BC27" s="47"/>
      <c r="BD27" s="47"/>
      <c r="BE27" s="47"/>
      <c r="BF27" s="47"/>
      <c r="BG27" s="47"/>
      <c r="BH27" s="47"/>
      <c r="BI27" s="47"/>
      <c r="BK27" s="6"/>
      <c r="BL27" s="6"/>
      <c r="BM27" s="6"/>
    </row>
    <row r="28" spans="2:65" x14ac:dyDescent="0.3">
      <c r="B28" s="7"/>
      <c r="C28" s="7"/>
      <c r="D28" s="7"/>
      <c r="E28" s="7"/>
      <c r="F28" s="7"/>
      <c r="G28" s="7"/>
      <c r="H28" s="7"/>
      <c r="I28" s="45"/>
      <c r="J28" s="45"/>
      <c r="K28" s="45"/>
      <c r="L28" s="45"/>
      <c r="M28" s="45"/>
      <c r="N28" s="45"/>
      <c r="O28" s="45"/>
      <c r="P28" s="45"/>
      <c r="R28" s="47"/>
      <c r="S28" s="47"/>
      <c r="T28" s="47"/>
      <c r="U28" s="47"/>
      <c r="V28" s="47"/>
      <c r="W28" s="47"/>
      <c r="X28" s="47"/>
      <c r="Y28" s="47"/>
      <c r="AA28" s="47"/>
      <c r="AB28" s="47"/>
      <c r="AC28" s="47"/>
      <c r="AD28" s="47"/>
      <c r="AE28" s="47"/>
      <c r="AF28" s="47"/>
      <c r="AG28" s="47"/>
      <c r="AH28" s="47"/>
      <c r="AJ28" s="47"/>
      <c r="AK28" s="47"/>
      <c r="AL28" s="47"/>
      <c r="AM28" s="47"/>
      <c r="AN28" s="47"/>
      <c r="AO28" s="47"/>
      <c r="AP28" s="47"/>
      <c r="AQ28" s="47"/>
      <c r="AS28" s="47"/>
      <c r="AT28" s="47"/>
      <c r="AU28" s="47"/>
      <c r="AV28" s="47"/>
      <c r="AW28" s="47"/>
      <c r="AX28" s="47"/>
      <c r="AY28" s="47"/>
      <c r="AZ28" s="47"/>
      <c r="BB28" s="373"/>
      <c r="BC28" s="47"/>
      <c r="BD28" s="47"/>
      <c r="BE28" s="47"/>
      <c r="BF28" s="47"/>
      <c r="BG28" s="47"/>
      <c r="BH28" s="47"/>
      <c r="BI28" s="47"/>
      <c r="BK28" s="6"/>
      <c r="BL28" s="6"/>
      <c r="BM28" s="6"/>
    </row>
    <row r="29" spans="2:65" x14ac:dyDescent="0.3">
      <c r="B29" s="7"/>
      <c r="C29" s="7"/>
      <c r="D29" s="7"/>
      <c r="E29" s="7"/>
      <c r="F29" s="7"/>
      <c r="G29" s="7"/>
      <c r="H29" s="7"/>
      <c r="I29" s="45"/>
      <c r="J29" s="45"/>
      <c r="K29" s="45"/>
      <c r="L29" s="45"/>
      <c r="M29" s="45"/>
      <c r="N29" s="45"/>
      <c r="O29" s="45"/>
      <c r="P29" s="45"/>
      <c r="R29" s="47"/>
      <c r="S29" s="47"/>
      <c r="T29" s="47"/>
      <c r="U29" s="47"/>
      <c r="V29" s="47"/>
      <c r="W29" s="47"/>
      <c r="X29" s="47"/>
      <c r="Y29" s="47"/>
      <c r="AA29" s="47"/>
      <c r="AB29" s="47"/>
      <c r="AC29" s="47"/>
      <c r="AD29" s="47"/>
      <c r="AE29" s="47"/>
      <c r="AF29" s="47"/>
      <c r="AG29" s="47"/>
      <c r="AH29" s="47"/>
      <c r="AJ29" s="47"/>
      <c r="AK29" s="47"/>
      <c r="AL29" s="47"/>
      <c r="AM29" s="47"/>
      <c r="AN29" s="47"/>
      <c r="AO29" s="47"/>
      <c r="AP29" s="47"/>
      <c r="AQ29" s="47"/>
      <c r="AS29" s="47"/>
      <c r="AT29" s="47"/>
      <c r="AU29" s="47"/>
      <c r="AV29" s="47"/>
      <c r="AW29" s="47"/>
      <c r="AX29" s="47"/>
      <c r="AY29" s="47"/>
      <c r="AZ29" s="47"/>
      <c r="BB29" s="373"/>
      <c r="BC29" s="47"/>
      <c r="BD29" s="47"/>
      <c r="BE29" s="47"/>
      <c r="BF29" s="47"/>
      <c r="BG29" s="47"/>
      <c r="BH29" s="47"/>
      <c r="BI29" s="47"/>
      <c r="BK29" s="6"/>
      <c r="BL29" s="6"/>
      <c r="BM29" s="6"/>
    </row>
    <row r="30" spans="2:65" x14ac:dyDescent="0.3">
      <c r="B30" s="7"/>
      <c r="C30" s="7"/>
      <c r="D30" s="7"/>
      <c r="E30" s="7"/>
      <c r="F30" s="7"/>
      <c r="G30" s="7"/>
      <c r="H30" s="7"/>
      <c r="I30" s="45"/>
      <c r="J30" s="45"/>
      <c r="K30" s="45"/>
      <c r="L30" s="45"/>
      <c r="M30" s="45"/>
      <c r="N30" s="45"/>
      <c r="O30" s="45"/>
      <c r="P30" s="45"/>
      <c r="R30" s="47"/>
      <c r="S30" s="47"/>
      <c r="T30" s="47"/>
      <c r="U30" s="47"/>
      <c r="V30" s="47"/>
      <c r="W30" s="47"/>
      <c r="X30" s="47"/>
      <c r="Y30" s="47"/>
      <c r="AA30" s="47"/>
      <c r="AB30" s="47"/>
      <c r="AC30" s="47"/>
      <c r="AD30" s="47"/>
      <c r="AE30" s="47"/>
      <c r="AF30" s="47"/>
      <c r="AG30" s="47"/>
      <c r="AH30" s="47"/>
      <c r="AJ30" s="47"/>
      <c r="AK30" s="47"/>
      <c r="AL30" s="47"/>
      <c r="AM30" s="47"/>
      <c r="AN30" s="47"/>
      <c r="AO30" s="47"/>
      <c r="AP30" s="47"/>
      <c r="AQ30" s="47"/>
      <c r="AS30" s="47"/>
      <c r="AT30" s="47"/>
      <c r="AU30" s="47"/>
      <c r="AV30" s="47"/>
      <c r="AW30" s="47"/>
      <c r="AX30" s="47"/>
      <c r="AY30" s="47"/>
      <c r="AZ30" s="47"/>
      <c r="BB30" s="373"/>
      <c r="BC30" s="47"/>
      <c r="BD30" s="47"/>
      <c r="BE30" s="47"/>
      <c r="BF30" s="47"/>
      <c r="BG30" s="47"/>
      <c r="BH30" s="47"/>
      <c r="BI30" s="47"/>
      <c r="BK30" s="6"/>
      <c r="BL30" s="6"/>
      <c r="BM30" s="6"/>
    </row>
    <row r="31" spans="2:65" x14ac:dyDescent="0.3">
      <c r="B31" s="7"/>
      <c r="C31" s="7"/>
      <c r="D31" s="7"/>
      <c r="E31" s="7"/>
      <c r="F31" s="7"/>
      <c r="G31" s="7"/>
      <c r="H31" s="7"/>
      <c r="I31" s="45"/>
      <c r="J31" s="45"/>
      <c r="K31" s="45"/>
      <c r="L31" s="45"/>
      <c r="M31" s="45"/>
      <c r="N31" s="45"/>
      <c r="O31" s="45"/>
      <c r="P31" s="45"/>
      <c r="R31" s="47"/>
      <c r="S31" s="47"/>
      <c r="T31" s="47"/>
      <c r="U31" s="47"/>
      <c r="V31" s="47"/>
      <c r="W31" s="47"/>
      <c r="X31" s="47"/>
      <c r="Y31" s="47"/>
      <c r="AA31" s="47"/>
      <c r="AB31" s="47"/>
      <c r="AC31" s="47"/>
      <c r="AD31" s="47"/>
      <c r="AE31" s="47"/>
      <c r="AF31" s="47"/>
      <c r="AG31" s="47"/>
      <c r="AH31" s="47"/>
      <c r="AJ31" s="47"/>
      <c r="AK31" s="47"/>
      <c r="AL31" s="47"/>
      <c r="AM31" s="47"/>
      <c r="AN31" s="47"/>
      <c r="AO31" s="47"/>
      <c r="AP31" s="47"/>
      <c r="AQ31" s="47"/>
      <c r="AS31" s="47"/>
      <c r="AT31" s="47"/>
      <c r="AU31" s="47"/>
      <c r="AV31" s="47"/>
      <c r="AW31" s="47"/>
      <c r="AX31" s="47"/>
      <c r="AY31" s="47"/>
      <c r="AZ31" s="47"/>
      <c r="BB31" s="373"/>
      <c r="BC31" s="47"/>
      <c r="BD31" s="47"/>
      <c r="BE31" s="47"/>
      <c r="BF31" s="47"/>
      <c r="BG31" s="47"/>
      <c r="BH31" s="47"/>
      <c r="BI31" s="47"/>
      <c r="BK31" s="6"/>
      <c r="BL31" s="6"/>
      <c r="BM31" s="6"/>
    </row>
    <row r="32" spans="2:65" x14ac:dyDescent="0.3">
      <c r="B32" s="7"/>
      <c r="C32" s="7"/>
      <c r="D32" s="7"/>
      <c r="E32" s="7"/>
      <c r="F32" s="7"/>
      <c r="G32" s="7"/>
      <c r="H32" s="7"/>
      <c r="I32" s="45"/>
      <c r="J32" s="45"/>
      <c r="K32" s="45"/>
      <c r="L32" s="45"/>
      <c r="M32" s="45"/>
      <c r="N32" s="45"/>
      <c r="O32" s="45"/>
      <c r="P32" s="45"/>
      <c r="R32" s="47"/>
      <c r="S32" s="47"/>
      <c r="T32" s="47"/>
      <c r="U32" s="47"/>
      <c r="V32" s="47"/>
      <c r="W32" s="47"/>
      <c r="X32" s="47"/>
      <c r="Y32" s="47"/>
      <c r="AA32" s="47"/>
      <c r="AB32" s="47"/>
      <c r="AC32" s="47"/>
      <c r="AD32" s="47"/>
      <c r="AE32" s="47"/>
      <c r="AF32" s="47"/>
      <c r="AG32" s="47"/>
      <c r="AH32" s="47"/>
      <c r="AJ32" s="47"/>
      <c r="AK32" s="47"/>
      <c r="AL32" s="47"/>
      <c r="AM32" s="47"/>
      <c r="AN32" s="47"/>
      <c r="AO32" s="47"/>
      <c r="AP32" s="47"/>
      <c r="AQ32" s="47"/>
      <c r="AS32" s="47"/>
      <c r="AT32" s="47"/>
      <c r="AU32" s="47"/>
      <c r="AV32" s="47"/>
      <c r="AW32" s="47"/>
      <c r="AX32" s="47"/>
      <c r="AY32" s="47"/>
      <c r="AZ32" s="47"/>
      <c r="BB32" s="373"/>
      <c r="BC32" s="47"/>
      <c r="BD32" s="47"/>
      <c r="BE32" s="47"/>
      <c r="BF32" s="47"/>
      <c r="BG32" s="47"/>
      <c r="BH32" s="47"/>
      <c r="BI32" s="47"/>
      <c r="BK32" s="6"/>
      <c r="BL32" s="6"/>
      <c r="BM32" s="6"/>
    </row>
    <row r="33" spans="2:65" x14ac:dyDescent="0.3">
      <c r="B33" s="7"/>
      <c r="C33" s="7"/>
      <c r="D33" s="7"/>
      <c r="E33" s="7"/>
      <c r="F33" s="7"/>
      <c r="G33" s="7"/>
      <c r="H33" s="7"/>
      <c r="I33" s="45"/>
      <c r="J33" s="45"/>
      <c r="K33" s="45"/>
      <c r="L33" s="45"/>
      <c r="M33" s="45"/>
      <c r="N33" s="45"/>
      <c r="O33" s="45"/>
      <c r="P33" s="45"/>
      <c r="R33" s="47"/>
      <c r="S33" s="47"/>
      <c r="T33" s="47"/>
      <c r="U33" s="47"/>
      <c r="V33" s="47"/>
      <c r="W33" s="47"/>
      <c r="X33" s="47"/>
      <c r="Y33" s="47"/>
      <c r="AA33" s="47"/>
      <c r="AB33" s="47"/>
      <c r="AC33" s="47"/>
      <c r="AD33" s="47"/>
      <c r="AE33" s="47"/>
      <c r="AF33" s="47"/>
      <c r="AG33" s="47"/>
      <c r="AH33" s="47"/>
      <c r="AJ33" s="47"/>
      <c r="AK33" s="47"/>
      <c r="AL33" s="47"/>
      <c r="AM33" s="47"/>
      <c r="AN33" s="47"/>
      <c r="AO33" s="47"/>
      <c r="AP33" s="47"/>
      <c r="AQ33" s="47"/>
      <c r="AS33" s="47"/>
      <c r="AT33" s="47"/>
      <c r="AU33" s="47"/>
      <c r="AV33" s="47"/>
      <c r="AW33" s="47"/>
      <c r="AX33" s="47"/>
      <c r="AY33" s="47"/>
      <c r="AZ33" s="47"/>
      <c r="BB33" s="373"/>
      <c r="BC33" s="47"/>
      <c r="BD33" s="47"/>
      <c r="BE33" s="47"/>
      <c r="BF33" s="47"/>
      <c r="BG33" s="47"/>
      <c r="BH33" s="47"/>
      <c r="BI33" s="47"/>
      <c r="BK33" s="6"/>
      <c r="BL33" s="6"/>
      <c r="BM33" s="6"/>
    </row>
    <row r="34" spans="2:65" x14ac:dyDescent="0.3">
      <c r="B34" s="7"/>
      <c r="C34" s="7"/>
      <c r="D34" s="7"/>
      <c r="E34" s="7"/>
      <c r="F34" s="7"/>
      <c r="G34" s="7"/>
      <c r="H34" s="7"/>
      <c r="I34" s="45"/>
      <c r="J34" s="45"/>
      <c r="K34" s="45"/>
      <c r="L34" s="45"/>
      <c r="M34" s="45"/>
      <c r="N34" s="45"/>
      <c r="O34" s="45"/>
      <c r="P34" s="45"/>
      <c r="R34" s="47"/>
      <c r="S34" s="47"/>
      <c r="T34" s="47"/>
      <c r="U34" s="47"/>
      <c r="V34" s="47"/>
      <c r="W34" s="47"/>
      <c r="X34" s="47"/>
      <c r="Y34" s="47"/>
      <c r="AA34" s="47"/>
      <c r="AB34" s="47"/>
      <c r="AC34" s="47"/>
      <c r="AD34" s="47"/>
      <c r="AE34" s="47"/>
      <c r="AF34" s="47"/>
      <c r="AG34" s="47"/>
      <c r="AH34" s="47"/>
      <c r="AJ34" s="47"/>
      <c r="AK34" s="47"/>
      <c r="AL34" s="47"/>
      <c r="AM34" s="47"/>
      <c r="AN34" s="47"/>
      <c r="AO34" s="47"/>
      <c r="AP34" s="47"/>
      <c r="AQ34" s="47"/>
      <c r="AS34" s="47"/>
      <c r="AT34" s="47"/>
      <c r="AU34" s="47"/>
      <c r="AV34" s="47"/>
      <c r="AW34" s="47"/>
      <c r="AX34" s="47"/>
      <c r="AY34" s="47"/>
      <c r="AZ34" s="47"/>
      <c r="BB34" s="373"/>
      <c r="BC34" s="47"/>
      <c r="BD34" s="47"/>
      <c r="BE34" s="47"/>
      <c r="BF34" s="47"/>
      <c r="BG34" s="47"/>
      <c r="BH34" s="47"/>
      <c r="BI34" s="47"/>
      <c r="BK34" s="6"/>
      <c r="BL34" s="6"/>
      <c r="BM34" s="6"/>
    </row>
    <row r="35" spans="2:65" x14ac:dyDescent="0.3">
      <c r="B35" s="7"/>
      <c r="C35" s="7"/>
      <c r="D35" s="7"/>
      <c r="E35" s="7"/>
      <c r="F35" s="7"/>
      <c r="G35" s="7"/>
      <c r="H35" s="7"/>
      <c r="I35" s="45"/>
      <c r="J35" s="45"/>
      <c r="K35" s="45"/>
      <c r="L35" s="45"/>
      <c r="M35" s="45"/>
      <c r="N35" s="45"/>
      <c r="O35" s="45"/>
      <c r="P35" s="45"/>
      <c r="R35" s="47"/>
      <c r="S35" s="47"/>
      <c r="T35" s="47"/>
      <c r="U35" s="47"/>
      <c r="V35" s="47"/>
      <c r="W35" s="47"/>
      <c r="X35" s="47"/>
      <c r="Y35" s="47"/>
      <c r="AA35" s="47"/>
      <c r="AB35" s="47"/>
      <c r="AC35" s="47"/>
      <c r="AD35" s="47"/>
      <c r="AE35" s="47"/>
      <c r="AF35" s="47"/>
      <c r="AG35" s="47"/>
      <c r="AH35" s="47"/>
      <c r="AJ35" s="47"/>
      <c r="AK35" s="47"/>
      <c r="AL35" s="47"/>
      <c r="AM35" s="47"/>
      <c r="AN35" s="47"/>
      <c r="AO35" s="47"/>
      <c r="AP35" s="47"/>
      <c r="AQ35" s="47"/>
      <c r="AS35" s="47"/>
      <c r="AT35" s="47"/>
      <c r="AU35" s="47"/>
      <c r="AV35" s="47"/>
      <c r="AW35" s="47"/>
      <c r="AX35" s="47"/>
      <c r="AY35" s="47"/>
      <c r="AZ35" s="47"/>
      <c r="BB35" s="373"/>
      <c r="BC35" s="47"/>
      <c r="BD35" s="47"/>
      <c r="BE35" s="47"/>
      <c r="BF35" s="47"/>
      <c r="BG35" s="47"/>
      <c r="BH35" s="47"/>
      <c r="BI35" s="47"/>
      <c r="BK35" s="6"/>
      <c r="BL35" s="6"/>
      <c r="BM35" s="6"/>
    </row>
    <row r="36" spans="2:65" x14ac:dyDescent="0.3">
      <c r="B36" s="7"/>
      <c r="C36" s="7"/>
      <c r="D36" s="7"/>
      <c r="E36" s="7"/>
      <c r="F36" s="7"/>
      <c r="G36" s="7"/>
      <c r="H36" s="7"/>
      <c r="I36" s="45"/>
      <c r="J36" s="45"/>
      <c r="K36" s="45"/>
      <c r="L36" s="45"/>
      <c r="M36" s="45"/>
      <c r="N36" s="45"/>
      <c r="O36" s="45"/>
      <c r="P36" s="45"/>
      <c r="R36" s="47"/>
      <c r="S36" s="47"/>
      <c r="T36" s="47"/>
      <c r="U36" s="47"/>
      <c r="V36" s="47"/>
      <c r="W36" s="47"/>
      <c r="X36" s="47"/>
      <c r="Y36" s="47"/>
      <c r="AA36" s="47"/>
      <c r="AB36" s="47"/>
      <c r="AC36" s="47"/>
      <c r="AD36" s="47"/>
      <c r="AE36" s="47"/>
      <c r="AF36" s="47"/>
      <c r="AG36" s="47"/>
      <c r="AH36" s="47"/>
      <c r="AJ36" s="47"/>
      <c r="AK36" s="47"/>
      <c r="AL36" s="47"/>
      <c r="AM36" s="47"/>
      <c r="AN36" s="47"/>
      <c r="AO36" s="47"/>
      <c r="AP36" s="47"/>
      <c r="AQ36" s="47"/>
      <c r="AS36" s="47"/>
      <c r="AT36" s="47"/>
      <c r="AU36" s="47"/>
      <c r="AV36" s="47"/>
      <c r="AW36" s="47"/>
      <c r="AX36" s="47"/>
      <c r="AY36" s="47"/>
      <c r="AZ36" s="47"/>
      <c r="BB36" s="373"/>
      <c r="BC36" s="47"/>
      <c r="BD36" s="47"/>
      <c r="BE36" s="47"/>
      <c r="BF36" s="47"/>
      <c r="BG36" s="47"/>
      <c r="BH36" s="47"/>
      <c r="BI36" s="47"/>
      <c r="BK36" s="6"/>
      <c r="BL36" s="6"/>
      <c r="BM36" s="6"/>
    </row>
    <row r="37" spans="2:65" x14ac:dyDescent="0.3">
      <c r="I37" s="49">
        <f t="shared" ref="I37:BM37" si="12">SUM(I6:I36)</f>
        <v>36625.553813994811</v>
      </c>
      <c r="J37" s="49">
        <f t="shared" si="12"/>
        <v>4809.5599649606302</v>
      </c>
      <c r="K37" s="49">
        <f t="shared" si="12"/>
        <v>3952.2885985658063</v>
      </c>
      <c r="L37" s="49">
        <f t="shared" si="12"/>
        <v>9753.1672896279597</v>
      </c>
      <c r="M37" s="49">
        <f t="shared" si="12"/>
        <v>7193.1414121455018</v>
      </c>
      <c r="N37" s="49">
        <f t="shared" si="12"/>
        <v>6750.0870121455009</v>
      </c>
      <c r="O37" s="49">
        <f t="shared" si="12"/>
        <v>9755.1746641455011</v>
      </c>
      <c r="P37" s="49">
        <f t="shared" si="12"/>
        <v>16771.127052644362</v>
      </c>
      <c r="R37" s="48">
        <f t="shared" si="12"/>
        <v>66.659208693801276</v>
      </c>
      <c r="S37" s="48">
        <f t="shared" si="12"/>
        <v>67.273184041375458</v>
      </c>
      <c r="T37" s="48">
        <f t="shared" si="12"/>
        <v>31.711342012117434</v>
      </c>
      <c r="U37" s="48">
        <f t="shared" si="12"/>
        <v>115.44277911579822</v>
      </c>
      <c r="V37" s="48">
        <f t="shared" si="12"/>
        <v>116.61654371163473</v>
      </c>
      <c r="W37" s="48">
        <f t="shared" si="12"/>
        <v>117.9317304520028</v>
      </c>
      <c r="X37" s="48">
        <f t="shared" si="12"/>
        <v>119.16308694895017</v>
      </c>
      <c r="Y37" s="48">
        <f t="shared" si="12"/>
        <v>120.26427989080764</v>
      </c>
      <c r="AA37" s="48">
        <f t="shared" si="12"/>
        <v>1691.1880237174973</v>
      </c>
      <c r="AB37" s="48">
        <f t="shared" si="12"/>
        <v>1505.5193768367008</v>
      </c>
      <c r="AC37" s="48">
        <f t="shared" si="12"/>
        <v>1041.2628195557686</v>
      </c>
      <c r="AD37" s="48">
        <f t="shared" si="12"/>
        <v>2685.3779944479807</v>
      </c>
      <c r="AE37" s="48">
        <f t="shared" si="12"/>
        <v>2496.8143002326779</v>
      </c>
      <c r="AF37" s="48">
        <f t="shared" si="12"/>
        <v>2584.0844545441232</v>
      </c>
      <c r="AG37" s="48">
        <f t="shared" si="12"/>
        <v>3227.930115506153</v>
      </c>
      <c r="AH37" s="48">
        <f t="shared" si="12"/>
        <v>3648.2434265776701</v>
      </c>
      <c r="AJ37" s="48">
        <f t="shared" si="12"/>
        <v>1878.7877937112039</v>
      </c>
      <c r="AK37" s="48">
        <f t="shared" si="12"/>
        <v>1344.6735018034053</v>
      </c>
      <c r="AL37" s="48">
        <f t="shared" si="12"/>
        <v>1387.3454603126766</v>
      </c>
      <c r="AM37" s="48">
        <f t="shared" si="12"/>
        <v>2888.8016126159928</v>
      </c>
      <c r="AN37" s="48">
        <f t="shared" si="12"/>
        <v>2030.9471902336993</v>
      </c>
      <c r="AO37" s="48">
        <f t="shared" si="12"/>
        <v>1147.9144393289346</v>
      </c>
      <c r="AP37" s="48">
        <f t="shared" si="12"/>
        <v>2352.0167407040376</v>
      </c>
      <c r="AQ37" s="48">
        <f t="shared" si="12"/>
        <v>3735.7410192472798</v>
      </c>
      <c r="AS37" s="48">
        <f t="shared" si="12"/>
        <v>33006.319406486029</v>
      </c>
      <c r="AT37" s="48">
        <f t="shared" si="12"/>
        <v>1917.9636018401488</v>
      </c>
      <c r="AU37" s="48">
        <f t="shared" si="12"/>
        <v>1524.1789105364701</v>
      </c>
      <c r="AV37" s="48">
        <f t="shared" si="12"/>
        <v>4159.560995759779</v>
      </c>
      <c r="AW37" s="48">
        <f t="shared" si="12"/>
        <v>2638.5133337924076</v>
      </c>
      <c r="AX37" s="48">
        <f t="shared" si="12"/>
        <v>2965.9749838955136</v>
      </c>
      <c r="AY37" s="48">
        <f t="shared" si="12"/>
        <v>4206.4987738347318</v>
      </c>
      <c r="AZ37" s="48">
        <f t="shared" si="12"/>
        <v>9533.2033662929643</v>
      </c>
      <c r="BB37" s="48">
        <f t="shared" si="12"/>
        <v>36642.954432608531</v>
      </c>
      <c r="BC37" s="48">
        <f t="shared" si="12"/>
        <v>4835.4296645216309</v>
      </c>
      <c r="BD37" s="48">
        <f t="shared" si="12"/>
        <v>3984.4985324170325</v>
      </c>
      <c r="BE37" s="48">
        <f t="shared" si="12"/>
        <v>9849.1833819395506</v>
      </c>
      <c r="BF37" s="48">
        <f t="shared" si="12"/>
        <v>7282.8913679704201</v>
      </c>
      <c r="BG37" s="48">
        <f t="shared" si="12"/>
        <v>6815.9056082205734</v>
      </c>
      <c r="BH37" s="48">
        <f t="shared" si="12"/>
        <v>9905.6087169938728</v>
      </c>
      <c r="BI37" s="48">
        <f t="shared" si="12"/>
        <v>17037.452092008723</v>
      </c>
      <c r="BK37" s="48">
        <f t="shared" si="12"/>
        <v>37404.280495797328</v>
      </c>
      <c r="BL37" s="48">
        <f t="shared" si="12"/>
        <v>5014.5196520965064</v>
      </c>
      <c r="BM37" s="48">
        <f t="shared" si="12"/>
        <v>4214.7140031789058</v>
      </c>
    </row>
    <row r="38" spans="2:65" x14ac:dyDescent="0.3">
      <c r="BB38" s="85">
        <f t="shared" ref="BB38:BI38" si="13">IF(ISERROR((BB37-I37)/I37),0,(BB37-I37)/I37)</f>
        <v>4.7509503070150306E-4</v>
      </c>
      <c r="BC38" s="85">
        <f t="shared" si="13"/>
        <v>5.3788079885625263E-3</v>
      </c>
      <c r="BD38" s="85">
        <f t="shared" si="13"/>
        <v>8.1496917666676553E-3</v>
      </c>
      <c r="BE38" s="85">
        <f t="shared" si="13"/>
        <v>9.8446063171396189E-3</v>
      </c>
      <c r="BF38" s="85">
        <f t="shared" si="13"/>
        <v>1.2477157153253924E-2</v>
      </c>
      <c r="BG38" s="85">
        <f t="shared" si="13"/>
        <v>9.7507774280012113E-3</v>
      </c>
      <c r="BH38" s="85">
        <f t="shared" si="13"/>
        <v>1.5420949191333511E-2</v>
      </c>
      <c r="BI38" s="85">
        <f t="shared" si="13"/>
        <v>1.5879972677350192E-2</v>
      </c>
    </row>
    <row r="39" spans="2:65" x14ac:dyDescent="0.3">
      <c r="C39" s="41"/>
      <c r="D39" s="442"/>
      <c r="E39" s="41"/>
      <c r="F39" s="41"/>
      <c r="G39" s="41"/>
      <c r="H39" s="41"/>
      <c r="I39" s="50"/>
      <c r="J39" s="50"/>
      <c r="K39" s="50"/>
      <c r="L39" s="50"/>
      <c r="M39" s="50"/>
      <c r="N39" s="50"/>
      <c r="O39" s="50"/>
      <c r="P39" s="50"/>
      <c r="Q39" s="41"/>
      <c r="R39" s="41"/>
      <c r="S39" s="41"/>
    </row>
    <row r="40" spans="2:65" x14ac:dyDescent="0.3">
      <c r="C40" s="41"/>
      <c r="D40" s="442"/>
      <c r="E40" s="41"/>
      <c r="F40" s="41"/>
      <c r="G40" s="41"/>
      <c r="H40" s="41"/>
      <c r="I40" s="41"/>
      <c r="J40" s="41"/>
      <c r="K40" s="41"/>
      <c r="L40" s="443"/>
      <c r="M40" s="443"/>
      <c r="N40" s="443"/>
      <c r="O40" s="443"/>
      <c r="P40" s="443"/>
      <c r="Q40" s="41"/>
      <c r="R40" s="41"/>
      <c r="S40" s="41"/>
    </row>
    <row r="41" spans="2:65" x14ac:dyDescent="0.3">
      <c r="C41" s="41"/>
      <c r="D41" s="41"/>
      <c r="E41" s="41"/>
      <c r="F41" s="41"/>
      <c r="G41" s="41"/>
      <c r="H41" s="41"/>
      <c r="I41" s="41"/>
      <c r="J41" s="41"/>
      <c r="K41" s="114"/>
      <c r="L41" s="114"/>
      <c r="M41" s="114"/>
      <c r="N41" s="114"/>
      <c r="O41" s="114"/>
      <c r="P41" s="114"/>
      <c r="Q41" s="41"/>
      <c r="R41" s="41"/>
      <c r="S41" s="41"/>
    </row>
  </sheetData>
  <mergeCells count="13">
    <mergeCell ref="BK4:BM4"/>
    <mergeCell ref="I4:P4"/>
    <mergeCell ref="BB4:BI4"/>
    <mergeCell ref="AS4:AZ4"/>
    <mergeCell ref="AJ4:AQ4"/>
    <mergeCell ref="AA4:AH4"/>
    <mergeCell ref="R4:Y4"/>
    <mergeCell ref="I3:P3"/>
    <mergeCell ref="R3:Y3"/>
    <mergeCell ref="AA3:AH3"/>
    <mergeCell ref="AJ3:AQ3"/>
    <mergeCell ref="BB3:BI3"/>
    <mergeCell ref="AS3:AZ3"/>
  </mergeCells>
  <hyperlinks>
    <hyperlink ref="B2" location="Contents!A1" display="Table of Contents" xr:uid="{00000000-0004-0000-1400-000000000000}"/>
  </hyperlinks>
  <pageMargins left="0.7" right="0.7" top="0.75" bottom="0.75" header="0.3" footer="0.3"/>
  <pageSetup paperSize="9" orientation="portrait" horizontalDpi="4294967292" verticalDpi="4294967292" r:id="rId1"/>
  <legacyDrawing r:id="rId2"/>
  <extLst>
    <ext xmlns:x14="http://schemas.microsoft.com/office/spreadsheetml/2009/9/main" uri="{CCE6A557-97BC-4b89-ADB6-D9C93CAAB3DF}">
      <x14:dataValidations xmlns:xm="http://schemas.microsoft.com/office/excel/2006/main" disablePrompts="1" count="4">
        <x14:dataValidation type="list" errorStyle="warning" showInputMessage="1" showErrorMessage="1" error="Invalid data entered" prompt="Select from drop down list" xr:uid="{00000000-0002-0000-1400-000000000000}">
          <x14:formula1>
            <xm:f>Lookups!$C$16:$C$27</xm:f>
          </x14:formula1>
          <xm:sqref>F6:F36</xm:sqref>
        </x14:dataValidation>
        <x14:dataValidation type="list" allowBlank="1" showInputMessage="1" showErrorMessage="1" prompt="Select from drop down list" xr:uid="{00000000-0002-0000-1400-000001000000}">
          <x14:formula1>
            <xm:f>Lookups!$I$15:$I$26</xm:f>
          </x14:formula1>
          <xm:sqref>H6:H36</xm:sqref>
        </x14:dataValidation>
        <x14:dataValidation type="list" errorStyle="warning" showInputMessage="1" showErrorMessage="1" error="Invalid data entered" prompt="Select from drop down list" xr:uid="{00000000-0002-0000-1400-000002000000}">
          <x14:formula1>
            <xm:f>Lookups!$C$5:$C$13</xm:f>
          </x14:formula1>
          <xm:sqref>E6:E36</xm:sqref>
        </x14:dataValidation>
        <x14:dataValidation type="list" allowBlank="1" showInputMessage="1" showErrorMessage="1" prompt="Select from drop down list" xr:uid="{00000000-0002-0000-1400-000003000000}">
          <x14:formula1>
            <xm:f>Lab_Mat!$C$25:$C$28</xm:f>
          </x14:formula1>
          <xm:sqref>G6:G36</xm:sqref>
        </x14:dataValidation>
      </x14:dataValidations>
    </ex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1:AK59"/>
  <sheetViews>
    <sheetView zoomScale="70" zoomScaleNormal="70" workbookViewId="0">
      <pane xSplit="2" topLeftCell="C1" activePane="topRight" state="frozen"/>
      <selection activeCell="K24" sqref="K24"/>
      <selection pane="topRight" activeCell="A15" sqref="A15"/>
    </sheetView>
  </sheetViews>
  <sheetFormatPr defaultColWidth="9.109375" defaultRowHeight="14.4" outlineLevelRow="1" x14ac:dyDescent="0.3"/>
  <cols>
    <col min="1" max="1" width="6.109375" style="1" customWidth="1"/>
    <col min="2" max="2" width="33.88671875" style="1" bestFit="1" customWidth="1"/>
    <col min="3" max="3" width="8.33203125" style="1" customWidth="1"/>
    <col min="4" max="10" width="9.109375" style="1"/>
    <col min="11" max="11" width="10.109375" style="1" customWidth="1"/>
    <col min="12" max="12" width="8.6640625" style="1" customWidth="1"/>
    <col min="13" max="19" width="9.109375" style="1"/>
    <col min="20" max="20" width="8.88671875" style="1" customWidth="1"/>
    <col min="21" max="21" width="8" style="1" customWidth="1"/>
    <col min="22" max="28" width="9.109375" style="1"/>
    <col min="29" max="29" width="5.88671875" style="1" customWidth="1"/>
    <col min="30" max="30" width="8.6640625" style="1" customWidth="1"/>
    <col min="31" max="16384" width="9.109375" style="1"/>
  </cols>
  <sheetData>
    <row r="1" spans="2:37" ht="18" x14ac:dyDescent="0.35">
      <c r="B1" s="10" t="s">
        <v>612</v>
      </c>
      <c r="C1" s="10"/>
      <c r="H1" s="596" t="s">
        <v>749</v>
      </c>
      <c r="I1" s="596"/>
      <c r="J1" s="236"/>
      <c r="K1" s="236"/>
      <c r="L1" s="236"/>
      <c r="M1" s="236"/>
      <c r="N1" s="236"/>
      <c r="O1" s="236"/>
      <c r="P1" s="236"/>
      <c r="Q1" s="236"/>
      <c r="R1" s="236"/>
      <c r="S1" s="236"/>
    </row>
    <row r="2" spans="2:37" x14ac:dyDescent="0.3">
      <c r="B2" s="25" t="s">
        <v>6</v>
      </c>
      <c r="C2" s="25"/>
      <c r="L2" s="226">
        <f>CP_Yr_4</f>
        <v>43800</v>
      </c>
      <c r="M2" s="226">
        <f>CP_Yr_5</f>
        <v>44166</v>
      </c>
      <c r="N2" s="226">
        <f>Stub</f>
        <v>44377</v>
      </c>
      <c r="O2" s="226">
        <f>Yr_1</f>
        <v>44742</v>
      </c>
      <c r="P2" s="226">
        <f>Yr_2</f>
        <v>45107</v>
      </c>
      <c r="Q2" s="226">
        <f>Yr_3</f>
        <v>45473</v>
      </c>
      <c r="R2" s="226">
        <f>Yr_4</f>
        <v>45838</v>
      </c>
      <c r="S2" s="226">
        <f>Yr_5</f>
        <v>46203</v>
      </c>
    </row>
    <row r="3" spans="2:37" x14ac:dyDescent="0.3">
      <c r="K3" s="79" t="s">
        <v>392</v>
      </c>
      <c r="L3" s="568"/>
      <c r="M3" s="569"/>
      <c r="N3" s="569"/>
      <c r="O3" s="569"/>
      <c r="P3" s="569"/>
      <c r="Q3" s="569"/>
      <c r="R3" s="569"/>
      <c r="S3" s="569"/>
    </row>
    <row r="4" spans="2:37" x14ac:dyDescent="0.3">
      <c r="B4" s="128" t="s">
        <v>349</v>
      </c>
      <c r="C4" s="128"/>
      <c r="K4" s="79" t="s">
        <v>387</v>
      </c>
      <c r="L4" s="569"/>
      <c r="M4" s="569"/>
      <c r="N4" s="569"/>
      <c r="O4" s="569"/>
      <c r="P4" s="569"/>
      <c r="Q4" s="569"/>
      <c r="R4" s="569"/>
      <c r="S4" s="569"/>
    </row>
    <row r="5" spans="2:37" x14ac:dyDescent="0.3">
      <c r="B5" s="300"/>
      <c r="K5" s="79" t="s">
        <v>321</v>
      </c>
      <c r="L5" s="569"/>
      <c r="M5" s="569"/>
      <c r="N5" s="569"/>
      <c r="O5" s="569"/>
      <c r="P5" s="569"/>
      <c r="Q5" s="569"/>
      <c r="R5" s="569"/>
      <c r="S5" s="569"/>
    </row>
    <row r="6" spans="2:37" x14ac:dyDescent="0.3">
      <c r="U6" s="55"/>
    </row>
    <row r="7" spans="2:37" x14ac:dyDescent="0.3">
      <c r="C7" s="2" t="s">
        <v>398</v>
      </c>
      <c r="L7" s="2" t="s">
        <v>389</v>
      </c>
      <c r="U7" s="2" t="s">
        <v>390</v>
      </c>
      <c r="AD7" s="2" t="s">
        <v>391</v>
      </c>
    </row>
    <row r="8" spans="2:37" ht="5.25" customHeight="1" x14ac:dyDescent="0.3"/>
    <row r="9" spans="2:37" ht="12.75" customHeight="1" x14ac:dyDescent="0.3">
      <c r="B9" s="2" t="s">
        <v>345</v>
      </c>
      <c r="C9" s="226">
        <f>CP_Yr_4</f>
        <v>43800</v>
      </c>
      <c r="D9" s="226">
        <f>CP_Yr_5</f>
        <v>44166</v>
      </c>
      <c r="E9" s="226">
        <f>Stub</f>
        <v>44377</v>
      </c>
      <c r="F9" s="226">
        <f>Yr_1</f>
        <v>44742</v>
      </c>
      <c r="G9" s="226">
        <f>Yr_2</f>
        <v>45107</v>
      </c>
      <c r="H9" s="226">
        <f>Yr_3</f>
        <v>45473</v>
      </c>
      <c r="I9" s="226">
        <f>Yr_4</f>
        <v>45838</v>
      </c>
      <c r="J9" s="226">
        <f>Yr_5</f>
        <v>46203</v>
      </c>
      <c r="L9" s="226">
        <f>CP_Yr_4</f>
        <v>43800</v>
      </c>
      <c r="M9" s="226">
        <f>CP_Yr_5</f>
        <v>44166</v>
      </c>
      <c r="N9" s="226">
        <f>Stub</f>
        <v>44377</v>
      </c>
      <c r="O9" s="226">
        <f>Yr_1</f>
        <v>44742</v>
      </c>
      <c r="P9" s="226">
        <f>Yr_2</f>
        <v>45107</v>
      </c>
      <c r="Q9" s="226">
        <f>Yr_3</f>
        <v>45473</v>
      </c>
      <c r="R9" s="226">
        <f>Yr_4</f>
        <v>45838</v>
      </c>
      <c r="S9" s="226">
        <f>Yr_5</f>
        <v>46203</v>
      </c>
      <c r="U9" s="226">
        <f>CP_Yr_4</f>
        <v>43800</v>
      </c>
      <c r="V9" s="226">
        <f>CP_Yr_5</f>
        <v>44166</v>
      </c>
      <c r="W9" s="226">
        <f>Stub</f>
        <v>44377</v>
      </c>
      <c r="X9" s="226">
        <f>Yr_1</f>
        <v>44742</v>
      </c>
      <c r="Y9" s="226">
        <f>Yr_2</f>
        <v>45107</v>
      </c>
      <c r="Z9" s="226">
        <f>Yr_3</f>
        <v>45473</v>
      </c>
      <c r="AA9" s="226">
        <f>Yr_4</f>
        <v>45838</v>
      </c>
      <c r="AB9" s="226">
        <f>Yr_5</f>
        <v>46203</v>
      </c>
      <c r="AD9" s="226">
        <f>CP_Yr_4</f>
        <v>43800</v>
      </c>
      <c r="AE9" s="226">
        <f>CP_Yr_5</f>
        <v>44166</v>
      </c>
      <c r="AF9" s="226">
        <f>Stub</f>
        <v>44377</v>
      </c>
      <c r="AG9" s="226">
        <f>Yr_1</f>
        <v>44742</v>
      </c>
      <c r="AH9" s="226">
        <f>Yr_2</f>
        <v>45107</v>
      </c>
      <c r="AI9" s="226">
        <f>Yr_3</f>
        <v>45473</v>
      </c>
      <c r="AJ9" s="226">
        <f>Yr_4</f>
        <v>45838</v>
      </c>
      <c r="AK9" s="226">
        <f>Yr_5</f>
        <v>46203</v>
      </c>
    </row>
    <row r="10" spans="2:37" ht="5.25" customHeight="1" x14ac:dyDescent="0.3">
      <c r="B10" s="2"/>
      <c r="C10" s="537"/>
      <c r="D10" s="537"/>
      <c r="E10" s="537"/>
      <c r="F10" s="537"/>
      <c r="G10" s="537"/>
      <c r="H10" s="537"/>
      <c r="I10" s="537"/>
      <c r="J10" s="537"/>
    </row>
    <row r="11" spans="2:37" ht="12.75" customHeight="1" x14ac:dyDescent="0.3">
      <c r="B11" s="1" t="s">
        <v>150</v>
      </c>
      <c r="C11" s="523"/>
      <c r="D11" s="523"/>
      <c r="E11" s="523"/>
      <c r="F11" s="523"/>
      <c r="G11" s="523"/>
      <c r="H11" s="523"/>
      <c r="I11" s="523"/>
      <c r="J11" s="523"/>
      <c r="L11" s="523"/>
      <c r="M11" s="523"/>
      <c r="N11" s="523"/>
      <c r="O11" s="523"/>
      <c r="P11" s="523"/>
      <c r="Q11" s="523"/>
      <c r="R11" s="523"/>
      <c r="S11" s="523"/>
      <c r="U11" s="537"/>
      <c r="V11" s="523"/>
      <c r="W11" s="523"/>
      <c r="X11" s="523"/>
      <c r="Y11" s="523"/>
      <c r="Z11" s="523"/>
      <c r="AA11" s="523"/>
      <c r="AB11" s="523"/>
      <c r="AD11" s="523"/>
      <c r="AE11" s="523"/>
      <c r="AF11" s="523"/>
      <c r="AG11" s="523"/>
      <c r="AH11" s="523"/>
      <c r="AI11" s="523"/>
      <c r="AJ11" s="523"/>
      <c r="AK11" s="523"/>
    </row>
    <row r="12" spans="2:37" ht="12.75" customHeight="1" x14ac:dyDescent="0.3">
      <c r="B12" s="1" t="s">
        <v>32</v>
      </c>
      <c r="C12" s="537"/>
      <c r="D12" s="523"/>
      <c r="E12" s="523"/>
      <c r="F12" s="523"/>
      <c r="G12" s="523"/>
      <c r="H12" s="523"/>
      <c r="I12" s="523"/>
      <c r="J12" s="523"/>
      <c r="L12" s="537"/>
      <c r="M12" s="523"/>
      <c r="N12" s="523"/>
      <c r="O12" s="523"/>
      <c r="P12" s="523"/>
      <c r="Q12" s="523"/>
      <c r="R12" s="523"/>
      <c r="S12" s="523"/>
      <c r="U12" s="523"/>
      <c r="V12" s="523"/>
      <c r="W12" s="523"/>
      <c r="X12" s="523"/>
      <c r="Y12" s="523"/>
      <c r="Z12" s="523"/>
      <c r="AA12" s="523"/>
      <c r="AB12" s="523"/>
      <c r="AD12" s="523"/>
      <c r="AE12" s="523"/>
      <c r="AF12" s="523"/>
      <c r="AG12" s="523"/>
      <c r="AH12" s="523"/>
      <c r="AI12" s="523"/>
      <c r="AJ12" s="523"/>
      <c r="AK12" s="523"/>
    </row>
    <row r="13" spans="2:37" ht="12.75" customHeight="1" x14ac:dyDescent="0.3">
      <c r="B13" s="1" t="s">
        <v>10</v>
      </c>
      <c r="C13" s="537"/>
      <c r="D13" s="523"/>
      <c r="E13" s="523"/>
      <c r="F13" s="523"/>
      <c r="G13" s="523"/>
      <c r="H13" s="523"/>
      <c r="I13" s="523"/>
      <c r="J13" s="523"/>
      <c r="L13" s="523"/>
      <c r="M13" s="523"/>
      <c r="N13" s="523"/>
      <c r="O13" s="523"/>
      <c r="P13" s="523"/>
      <c r="Q13" s="523"/>
      <c r="R13" s="523"/>
      <c r="S13" s="523"/>
      <c r="U13" s="537"/>
      <c r="V13" s="523"/>
      <c r="W13" s="523"/>
      <c r="X13" s="523"/>
      <c r="Y13" s="523"/>
      <c r="Z13" s="523"/>
      <c r="AA13" s="523"/>
      <c r="AB13" s="523"/>
      <c r="AD13" s="523"/>
      <c r="AE13" s="523"/>
      <c r="AF13" s="523"/>
      <c r="AG13" s="523"/>
      <c r="AH13" s="523"/>
      <c r="AI13" s="523"/>
      <c r="AJ13" s="523"/>
      <c r="AK13" s="523"/>
    </row>
    <row r="14" spans="2:37" ht="12.75" customHeight="1" x14ac:dyDescent="0.3">
      <c r="B14" s="1" t="s">
        <v>34</v>
      </c>
      <c r="C14" s="570"/>
      <c r="D14" s="525"/>
      <c r="E14" s="525"/>
      <c r="F14" s="525"/>
      <c r="G14" s="525"/>
      <c r="H14" s="525"/>
      <c r="I14" s="525"/>
      <c r="J14" s="525"/>
      <c r="L14" s="570"/>
      <c r="M14" s="570"/>
      <c r="N14" s="570"/>
      <c r="O14" s="570"/>
      <c r="P14" s="570"/>
      <c r="Q14" s="570"/>
      <c r="R14" s="570"/>
      <c r="S14" s="570"/>
      <c r="U14" s="570"/>
      <c r="V14" s="570"/>
      <c r="W14" s="570"/>
      <c r="X14" s="570"/>
      <c r="Y14" s="570"/>
      <c r="Z14" s="570"/>
      <c r="AA14" s="570"/>
      <c r="AB14" s="570"/>
      <c r="AD14" s="570"/>
      <c r="AE14" s="570"/>
      <c r="AF14" s="570"/>
      <c r="AG14" s="570"/>
      <c r="AH14" s="570"/>
      <c r="AI14" s="570"/>
      <c r="AJ14" s="570"/>
      <c r="AK14" s="570"/>
    </row>
    <row r="15" spans="2:37" ht="12.75" customHeight="1" x14ac:dyDescent="0.3">
      <c r="C15" s="523"/>
      <c r="D15" s="523"/>
      <c r="E15" s="523"/>
      <c r="F15" s="523"/>
      <c r="G15" s="523"/>
      <c r="H15" s="523"/>
      <c r="I15" s="523"/>
      <c r="J15" s="523"/>
      <c r="L15" s="523"/>
      <c r="M15" s="523"/>
      <c r="N15" s="523"/>
      <c r="O15" s="523"/>
      <c r="P15" s="523"/>
      <c r="Q15" s="523"/>
      <c r="R15" s="523"/>
      <c r="S15" s="523"/>
      <c r="U15" s="523"/>
      <c r="V15" s="523"/>
      <c r="W15" s="523"/>
      <c r="X15" s="523"/>
      <c r="Y15" s="523"/>
      <c r="Z15" s="523"/>
      <c r="AA15" s="523"/>
      <c r="AB15" s="523"/>
      <c r="AD15" s="523"/>
      <c r="AE15" s="523"/>
      <c r="AF15" s="523"/>
      <c r="AG15" s="585"/>
      <c r="AH15" s="523"/>
      <c r="AI15" s="523"/>
      <c r="AJ15" s="523"/>
      <c r="AK15" s="523"/>
    </row>
    <row r="16" spans="2:37" ht="12.75" customHeight="1" x14ac:dyDescent="0.3"/>
    <row r="17" spans="2:37" x14ac:dyDescent="0.3">
      <c r="B17" s="2" t="s">
        <v>144</v>
      </c>
      <c r="C17" s="226">
        <f>CP_Yr_4</f>
        <v>43800</v>
      </c>
      <c r="D17" s="226">
        <f>CP_Yr_5</f>
        <v>44166</v>
      </c>
      <c r="E17" s="226">
        <f>Stub</f>
        <v>44377</v>
      </c>
      <c r="F17" s="226">
        <f>Yr_1</f>
        <v>44742</v>
      </c>
      <c r="G17" s="226">
        <f>Yr_2</f>
        <v>45107</v>
      </c>
      <c r="H17" s="226">
        <f>Yr_3</f>
        <v>45473</v>
      </c>
      <c r="I17" s="226">
        <f>Yr_4</f>
        <v>45838</v>
      </c>
      <c r="J17" s="226">
        <f>Yr_5</f>
        <v>46203</v>
      </c>
      <c r="L17" s="226">
        <f>CP_Yr_4</f>
        <v>43800</v>
      </c>
      <c r="M17" s="226">
        <f>CP_Yr_5</f>
        <v>44166</v>
      </c>
      <c r="N17" s="226">
        <f>Stub</f>
        <v>44377</v>
      </c>
      <c r="O17" s="226">
        <f>Yr_1</f>
        <v>44742</v>
      </c>
      <c r="P17" s="226">
        <f>Yr_2</f>
        <v>45107</v>
      </c>
      <c r="Q17" s="226">
        <f>Yr_3</f>
        <v>45473</v>
      </c>
      <c r="R17" s="226">
        <f>Yr_4</f>
        <v>45838</v>
      </c>
      <c r="S17" s="226">
        <f>Yr_5</f>
        <v>46203</v>
      </c>
      <c r="U17" s="226">
        <f>CP_Yr_4</f>
        <v>43800</v>
      </c>
      <c r="V17" s="226">
        <f>CP_Yr_5</f>
        <v>44166</v>
      </c>
      <c r="W17" s="226">
        <f>Stub</f>
        <v>44377</v>
      </c>
      <c r="X17" s="226">
        <f>Yr_1</f>
        <v>44742</v>
      </c>
      <c r="Y17" s="226">
        <f>Yr_2</f>
        <v>45107</v>
      </c>
      <c r="Z17" s="226">
        <f>Yr_3</f>
        <v>45473</v>
      </c>
      <c r="AA17" s="226">
        <f>Yr_4</f>
        <v>45838</v>
      </c>
      <c r="AB17" s="226">
        <f>Yr_5</f>
        <v>46203</v>
      </c>
      <c r="AD17" s="226">
        <f>CP_Yr_4</f>
        <v>43800</v>
      </c>
      <c r="AE17" s="226">
        <f>CP_Yr_5</f>
        <v>44166</v>
      </c>
      <c r="AF17" s="226">
        <f>Stub</f>
        <v>44377</v>
      </c>
      <c r="AG17" s="226">
        <f>Yr_1</f>
        <v>44742</v>
      </c>
      <c r="AH17" s="226">
        <f>Yr_2</f>
        <v>45107</v>
      </c>
      <c r="AI17" s="226">
        <f>Yr_3</f>
        <v>45473</v>
      </c>
      <c r="AJ17" s="226">
        <f>Yr_4</f>
        <v>45838</v>
      </c>
      <c r="AK17" s="226">
        <f>Yr_5</f>
        <v>46203</v>
      </c>
    </row>
    <row r="18" spans="2:37" ht="6" customHeight="1" x14ac:dyDescent="0.3"/>
    <row r="19" spans="2:37" x14ac:dyDescent="0.3">
      <c r="B19" s="1" t="s">
        <v>44</v>
      </c>
      <c r="C19" s="523"/>
      <c r="D19" s="523"/>
      <c r="E19" s="523"/>
      <c r="F19" s="523"/>
      <c r="G19" s="523"/>
      <c r="H19" s="523"/>
      <c r="I19" s="523"/>
      <c r="J19" s="523"/>
      <c r="K19" s="39"/>
      <c r="L19" s="523"/>
      <c r="M19" s="523"/>
      <c r="N19" s="523"/>
      <c r="O19" s="523"/>
      <c r="P19" s="523"/>
      <c r="Q19" s="523"/>
      <c r="R19" s="523"/>
      <c r="S19" s="523"/>
      <c r="U19" s="567"/>
      <c r="V19" s="567"/>
      <c r="W19" s="567"/>
      <c r="X19" s="567"/>
      <c r="Y19" s="567"/>
      <c r="Z19" s="567"/>
      <c r="AA19" s="567"/>
      <c r="AB19" s="567"/>
      <c r="AD19" s="523"/>
      <c r="AE19" s="523"/>
      <c r="AF19" s="523"/>
      <c r="AG19" s="523"/>
      <c r="AH19" s="523"/>
      <c r="AI19" s="523"/>
      <c r="AJ19" s="523"/>
      <c r="AK19" s="523"/>
    </row>
    <row r="20" spans="2:37" x14ac:dyDescent="0.3">
      <c r="B20" s="1" t="s">
        <v>45</v>
      </c>
      <c r="C20" s="523"/>
      <c r="D20" s="523"/>
      <c r="E20" s="523"/>
      <c r="F20" s="523"/>
      <c r="G20" s="523"/>
      <c r="H20" s="523"/>
      <c r="I20" s="523"/>
      <c r="J20" s="523"/>
      <c r="K20" s="39"/>
      <c r="L20" s="523"/>
      <c r="M20" s="523"/>
      <c r="N20" s="523"/>
      <c r="O20" s="523"/>
      <c r="P20" s="523"/>
      <c r="Q20" s="523"/>
      <c r="R20" s="523"/>
      <c r="S20" s="523"/>
      <c r="U20" s="523"/>
      <c r="V20" s="523"/>
      <c r="W20" s="523"/>
      <c r="X20" s="523"/>
      <c r="Y20" s="523"/>
      <c r="Z20" s="523"/>
      <c r="AA20" s="523"/>
      <c r="AB20" s="523"/>
      <c r="AD20" s="523"/>
      <c r="AE20" s="523"/>
      <c r="AF20" s="523"/>
      <c r="AG20" s="523"/>
      <c r="AH20" s="523"/>
      <c r="AI20" s="523"/>
      <c r="AJ20" s="523"/>
      <c r="AK20" s="523"/>
    </row>
    <row r="21" spans="2:37" x14ac:dyDescent="0.3">
      <c r="B21" s="1" t="s">
        <v>46</v>
      </c>
      <c r="C21" s="537"/>
      <c r="D21" s="523"/>
      <c r="E21" s="523"/>
      <c r="F21" s="523"/>
      <c r="G21" s="523"/>
      <c r="H21" s="523"/>
      <c r="I21" s="523"/>
      <c r="J21" s="523"/>
      <c r="K21" s="39"/>
      <c r="L21" s="523"/>
      <c r="M21" s="523"/>
      <c r="N21" s="523"/>
      <c r="O21" s="523"/>
      <c r="P21" s="523"/>
      <c r="Q21" s="523"/>
      <c r="R21" s="523"/>
      <c r="S21" s="523"/>
      <c r="U21" s="537"/>
      <c r="V21" s="523"/>
      <c r="W21" s="523"/>
      <c r="X21" s="523"/>
      <c r="Y21" s="523"/>
      <c r="Z21" s="523"/>
      <c r="AA21" s="523"/>
      <c r="AB21" s="523"/>
      <c r="AD21" s="523"/>
      <c r="AE21" s="523"/>
      <c r="AF21" s="523"/>
      <c r="AG21" s="523"/>
      <c r="AH21" s="523"/>
      <c r="AI21" s="523"/>
      <c r="AJ21" s="523"/>
      <c r="AK21" s="523"/>
    </row>
    <row r="22" spans="2:37" x14ac:dyDescent="0.3">
      <c r="B22" s="1" t="s">
        <v>47</v>
      </c>
      <c r="C22" s="537"/>
      <c r="D22" s="523"/>
      <c r="E22" s="523"/>
      <c r="F22" s="523"/>
      <c r="G22" s="523"/>
      <c r="H22" s="523"/>
      <c r="I22" s="523"/>
      <c r="J22" s="523"/>
      <c r="K22" s="39"/>
      <c r="L22" s="523"/>
      <c r="M22" s="523"/>
      <c r="N22" s="523"/>
      <c r="O22" s="523"/>
      <c r="P22" s="523"/>
      <c r="Q22" s="523"/>
      <c r="R22" s="523"/>
      <c r="S22" s="523"/>
      <c r="U22" s="537"/>
      <c r="V22" s="523"/>
      <c r="W22" s="523"/>
      <c r="X22" s="523"/>
      <c r="Y22" s="523"/>
      <c r="Z22" s="523"/>
      <c r="AA22" s="523"/>
      <c r="AB22" s="523"/>
      <c r="AD22" s="523"/>
      <c r="AE22" s="523"/>
      <c r="AF22" s="523"/>
      <c r="AG22" s="523"/>
      <c r="AH22" s="523"/>
      <c r="AI22" s="523"/>
      <c r="AJ22" s="523"/>
      <c r="AK22" s="523"/>
    </row>
    <row r="23" spans="2:37" x14ac:dyDescent="0.3">
      <c r="B23" s="1" t="s">
        <v>48</v>
      </c>
      <c r="C23" s="537"/>
      <c r="D23" s="523"/>
      <c r="E23" s="523"/>
      <c r="F23" s="523"/>
      <c r="G23" s="523"/>
      <c r="H23" s="523"/>
      <c r="I23" s="523"/>
      <c r="J23" s="523"/>
      <c r="K23" s="39"/>
      <c r="L23" s="523"/>
      <c r="M23" s="523"/>
      <c r="N23" s="523"/>
      <c r="O23" s="523"/>
      <c r="P23" s="523"/>
      <c r="Q23" s="523"/>
      <c r="R23" s="523"/>
      <c r="S23" s="523"/>
      <c r="U23" s="537"/>
      <c r="V23" s="523"/>
      <c r="W23" s="523"/>
      <c r="X23" s="523"/>
      <c r="Y23" s="523"/>
      <c r="Z23" s="523"/>
      <c r="AA23" s="523"/>
      <c r="AB23" s="523"/>
      <c r="AD23" s="523"/>
      <c r="AE23" s="523"/>
      <c r="AF23" s="523"/>
      <c r="AG23" s="523"/>
      <c r="AH23" s="523"/>
      <c r="AI23" s="523"/>
      <c r="AJ23" s="523"/>
      <c r="AK23" s="523"/>
    </row>
    <row r="24" spans="2:37" x14ac:dyDescent="0.3">
      <c r="B24" s="1" t="s">
        <v>49</v>
      </c>
      <c r="C24" s="537"/>
      <c r="D24" s="523"/>
      <c r="E24" s="523"/>
      <c r="F24" s="523"/>
      <c r="G24" s="523"/>
      <c r="H24" s="523"/>
      <c r="I24" s="523"/>
      <c r="J24" s="523"/>
      <c r="K24" s="39"/>
      <c r="L24" s="523"/>
      <c r="M24" s="523"/>
      <c r="N24" s="523"/>
      <c r="O24" s="523"/>
      <c r="P24" s="523"/>
      <c r="Q24" s="523"/>
      <c r="R24" s="523"/>
      <c r="S24" s="523"/>
      <c r="U24" s="537"/>
      <c r="V24" s="523"/>
      <c r="W24" s="523"/>
      <c r="X24" s="523"/>
      <c r="Y24" s="523"/>
      <c r="Z24" s="523"/>
      <c r="AA24" s="523"/>
      <c r="AB24" s="523"/>
      <c r="AD24" s="523"/>
      <c r="AE24" s="523"/>
      <c r="AF24" s="523"/>
      <c r="AG24" s="523"/>
      <c r="AH24" s="523"/>
      <c r="AI24" s="523"/>
      <c r="AJ24" s="523"/>
      <c r="AK24" s="523"/>
    </row>
    <row r="25" spans="2:37" s="41" customFormat="1" x14ac:dyDescent="0.3">
      <c r="B25" s="41" t="s">
        <v>50</v>
      </c>
      <c r="C25" s="559"/>
      <c r="D25" s="564"/>
      <c r="E25" s="564"/>
      <c r="F25" s="564"/>
      <c r="G25" s="564"/>
      <c r="H25" s="564"/>
      <c r="I25" s="564"/>
      <c r="J25" s="564"/>
      <c r="K25" s="50"/>
      <c r="L25" s="564"/>
      <c r="M25" s="564"/>
      <c r="N25" s="564"/>
      <c r="O25" s="564"/>
      <c r="P25" s="564"/>
      <c r="Q25" s="564"/>
      <c r="R25" s="564"/>
      <c r="S25" s="564"/>
      <c r="U25" s="559"/>
      <c r="V25" s="564"/>
      <c r="W25" s="564"/>
      <c r="X25" s="564"/>
      <c r="Y25" s="564"/>
      <c r="Z25" s="564"/>
      <c r="AA25" s="564"/>
      <c r="AB25" s="564"/>
      <c r="AD25" s="564"/>
      <c r="AE25" s="564"/>
      <c r="AF25" s="564"/>
      <c r="AG25" s="564"/>
      <c r="AH25" s="564"/>
      <c r="AI25" s="564"/>
      <c r="AJ25" s="564"/>
      <c r="AK25" s="564"/>
    </row>
    <row r="26" spans="2:37" x14ac:dyDescent="0.3">
      <c r="B26" s="1" t="s">
        <v>397</v>
      </c>
      <c r="C26" s="570"/>
      <c r="D26" s="525"/>
      <c r="E26" s="525"/>
      <c r="F26" s="525"/>
      <c r="G26" s="525"/>
      <c r="H26" s="525"/>
      <c r="I26" s="525"/>
      <c r="J26" s="525"/>
      <c r="K26" s="39"/>
      <c r="L26" s="525"/>
      <c r="M26" s="525"/>
      <c r="N26" s="525"/>
      <c r="O26" s="525"/>
      <c r="P26" s="525"/>
      <c r="Q26" s="525"/>
      <c r="R26" s="525"/>
      <c r="S26" s="525"/>
      <c r="U26" s="570"/>
      <c r="V26" s="525"/>
      <c r="W26" s="525"/>
      <c r="X26" s="525"/>
      <c r="Y26" s="525"/>
      <c r="Z26" s="525"/>
      <c r="AA26" s="525"/>
      <c r="AB26" s="525"/>
      <c r="AD26" s="525"/>
      <c r="AE26" s="525"/>
      <c r="AF26" s="525"/>
      <c r="AG26" s="525"/>
      <c r="AH26" s="525"/>
      <c r="AI26" s="525"/>
      <c r="AJ26" s="525"/>
      <c r="AK26" s="525"/>
    </row>
    <row r="27" spans="2:37" x14ac:dyDescent="0.3">
      <c r="B27" s="57" t="s">
        <v>291</v>
      </c>
      <c r="C27" s="523"/>
      <c r="D27" s="523"/>
      <c r="E27" s="523"/>
      <c r="F27" s="523"/>
      <c r="G27" s="523"/>
      <c r="H27" s="523"/>
      <c r="I27" s="523"/>
      <c r="J27" s="523"/>
      <c r="K27" s="39"/>
      <c r="L27" s="523"/>
      <c r="M27" s="523"/>
      <c r="N27" s="523"/>
      <c r="O27" s="523"/>
      <c r="P27" s="523"/>
      <c r="Q27" s="523"/>
      <c r="R27" s="523"/>
      <c r="S27" s="523"/>
      <c r="T27" s="34"/>
      <c r="U27" s="523"/>
      <c r="V27" s="523"/>
      <c r="W27" s="523"/>
      <c r="X27" s="523"/>
      <c r="Y27" s="523"/>
      <c r="Z27" s="523"/>
      <c r="AA27" s="523"/>
      <c r="AB27" s="523"/>
      <c r="AD27" s="523"/>
      <c r="AE27" s="523"/>
      <c r="AF27" s="523"/>
      <c r="AG27" s="523"/>
      <c r="AH27" s="523"/>
      <c r="AI27" s="523"/>
      <c r="AJ27" s="523"/>
      <c r="AK27" s="523"/>
    </row>
    <row r="28" spans="2:37" x14ac:dyDescent="0.3">
      <c r="D28" s="39"/>
      <c r="E28" s="39"/>
      <c r="F28" s="39"/>
      <c r="G28" s="39"/>
      <c r="H28" s="39"/>
      <c r="I28" s="39"/>
      <c r="J28" s="39"/>
      <c r="K28" s="39"/>
    </row>
    <row r="29" spans="2:37" outlineLevel="1" x14ac:dyDescent="0.3">
      <c r="D29" s="39"/>
      <c r="E29" s="39"/>
      <c r="F29" s="39"/>
      <c r="G29" s="39"/>
      <c r="H29" s="39"/>
      <c r="I29" s="39"/>
      <c r="J29" s="39"/>
      <c r="K29" s="39"/>
      <c r="M29" s="39"/>
      <c r="N29" s="39"/>
      <c r="O29" s="39"/>
      <c r="P29" s="39"/>
      <c r="Q29" s="39"/>
      <c r="R29" s="39"/>
      <c r="S29" s="39"/>
      <c r="V29" s="39"/>
      <c r="W29" s="39"/>
      <c r="X29" s="39"/>
      <c r="Y29" s="39"/>
      <c r="Z29" s="39"/>
      <c r="AA29" s="39"/>
      <c r="AB29" s="39"/>
    </row>
    <row r="30" spans="2:37" outlineLevel="1" x14ac:dyDescent="0.3">
      <c r="B30" s="2" t="s">
        <v>148</v>
      </c>
      <c r="C30" s="226">
        <f>CP_Yr_4</f>
        <v>43800</v>
      </c>
      <c r="D30" s="226">
        <f>CP_Yr_5</f>
        <v>44166</v>
      </c>
      <c r="E30" s="226">
        <f>Stub</f>
        <v>44377</v>
      </c>
      <c r="F30" s="226">
        <f>Yr_1</f>
        <v>44742</v>
      </c>
      <c r="G30" s="226">
        <f>Yr_2</f>
        <v>45107</v>
      </c>
      <c r="H30" s="226">
        <f>Yr_3</f>
        <v>45473</v>
      </c>
      <c r="I30" s="226">
        <f>Yr_4</f>
        <v>45838</v>
      </c>
      <c r="J30" s="226">
        <f>Yr_5</f>
        <v>46203</v>
      </c>
      <c r="K30" s="226"/>
      <c r="L30" s="226">
        <f>CP_Yr_4</f>
        <v>43800</v>
      </c>
      <c r="M30" s="226">
        <f>CP_Yr_5</f>
        <v>44166</v>
      </c>
      <c r="N30" s="226">
        <f>Stub</f>
        <v>44377</v>
      </c>
      <c r="O30" s="226">
        <f>Yr_1</f>
        <v>44742</v>
      </c>
      <c r="P30" s="226">
        <f>Yr_2</f>
        <v>45107</v>
      </c>
      <c r="Q30" s="226">
        <f>Yr_3</f>
        <v>45473</v>
      </c>
      <c r="R30" s="226">
        <f>Yr_4</f>
        <v>45838</v>
      </c>
      <c r="S30" s="226">
        <f>Yr_5</f>
        <v>46203</v>
      </c>
      <c r="T30" s="336"/>
      <c r="U30" s="226">
        <f>CP_Yr_4</f>
        <v>43800</v>
      </c>
      <c r="V30" s="226">
        <f>CP_Yr_5</f>
        <v>44166</v>
      </c>
      <c r="W30" s="226">
        <f>Stub</f>
        <v>44377</v>
      </c>
      <c r="X30" s="226">
        <f>Yr_1</f>
        <v>44742</v>
      </c>
      <c r="Y30" s="226">
        <f>Yr_2</f>
        <v>45107</v>
      </c>
      <c r="Z30" s="226">
        <f>Yr_3</f>
        <v>45473</v>
      </c>
      <c r="AA30" s="226">
        <f>Yr_4</f>
        <v>45838</v>
      </c>
      <c r="AB30" s="226">
        <f>Yr_5</f>
        <v>46203</v>
      </c>
      <c r="AC30" s="336"/>
      <c r="AD30" s="226">
        <f>CP_Yr_4</f>
        <v>43800</v>
      </c>
      <c r="AE30" s="226">
        <f>CP_Yr_5</f>
        <v>44166</v>
      </c>
      <c r="AF30" s="226">
        <f>Stub</f>
        <v>44377</v>
      </c>
      <c r="AG30" s="226">
        <f>Yr_1</f>
        <v>44742</v>
      </c>
      <c r="AH30" s="226">
        <f>Yr_2</f>
        <v>45107</v>
      </c>
      <c r="AI30" s="226">
        <f>Yr_3</f>
        <v>45473</v>
      </c>
      <c r="AJ30" s="226">
        <f>Yr_4</f>
        <v>45838</v>
      </c>
      <c r="AK30" s="226">
        <f>Yr_5</f>
        <v>46203</v>
      </c>
    </row>
    <row r="31" spans="2:37" ht="6.75" customHeight="1" outlineLevel="1" x14ac:dyDescent="0.3">
      <c r="D31" s="39"/>
      <c r="E31" s="39"/>
      <c r="F31" s="39"/>
      <c r="G31" s="39"/>
      <c r="H31" s="39"/>
      <c r="I31" s="39"/>
      <c r="J31" s="39"/>
      <c r="K31" s="39"/>
      <c r="M31" s="39"/>
      <c r="N31" s="39"/>
      <c r="O31" s="39"/>
      <c r="P31" s="39"/>
      <c r="Q31" s="39"/>
      <c r="R31" s="39"/>
      <c r="S31" s="39"/>
      <c r="V31" s="39"/>
      <c r="W31" s="39"/>
      <c r="X31" s="39"/>
      <c r="Y31" s="39"/>
      <c r="Z31" s="39"/>
      <c r="AA31" s="39"/>
      <c r="AB31" s="39"/>
    </row>
    <row r="32" spans="2:37" outlineLevel="1" x14ac:dyDescent="0.3">
      <c r="B32" s="1" t="s">
        <v>51</v>
      </c>
      <c r="C32" s="537"/>
      <c r="D32" s="523"/>
      <c r="E32" s="523"/>
      <c r="F32" s="523"/>
      <c r="G32" s="523"/>
      <c r="H32" s="523"/>
      <c r="I32" s="523"/>
      <c r="J32" s="523"/>
      <c r="K32" s="39"/>
      <c r="L32" s="523"/>
      <c r="M32" s="523"/>
      <c r="N32" s="523"/>
      <c r="O32" s="523"/>
      <c r="P32" s="523"/>
      <c r="Q32" s="523"/>
      <c r="R32" s="523"/>
      <c r="S32" s="523"/>
      <c r="U32" s="523"/>
      <c r="V32" s="523"/>
      <c r="W32" s="523"/>
      <c r="X32" s="523"/>
      <c r="Y32" s="523"/>
      <c r="Z32" s="523"/>
      <c r="AA32" s="523"/>
      <c r="AB32" s="523"/>
      <c r="AD32" s="523"/>
      <c r="AE32" s="523"/>
      <c r="AF32" s="523"/>
      <c r="AG32" s="523"/>
      <c r="AH32" s="523"/>
      <c r="AI32" s="523"/>
      <c r="AJ32" s="523"/>
      <c r="AK32" s="523"/>
    </row>
    <row r="33" spans="2:37" outlineLevel="1" x14ac:dyDescent="0.3">
      <c r="B33" s="1" t="s">
        <v>52</v>
      </c>
      <c r="C33" s="537"/>
      <c r="D33" s="523"/>
      <c r="E33" s="523"/>
      <c r="F33" s="523"/>
      <c r="G33" s="523"/>
      <c r="H33" s="523"/>
      <c r="I33" s="523"/>
      <c r="J33" s="523"/>
      <c r="K33" s="39"/>
      <c r="L33" s="523"/>
      <c r="M33" s="523"/>
      <c r="N33" s="523"/>
      <c r="O33" s="523"/>
      <c r="P33" s="523"/>
      <c r="Q33" s="523"/>
      <c r="R33" s="523"/>
      <c r="S33" s="523"/>
      <c r="U33" s="537"/>
      <c r="V33" s="523"/>
      <c r="W33" s="523"/>
      <c r="X33" s="523"/>
      <c r="Y33" s="523"/>
      <c r="Z33" s="523"/>
      <c r="AA33" s="523"/>
      <c r="AB33" s="523"/>
      <c r="AD33" s="523"/>
      <c r="AE33" s="523"/>
      <c r="AF33" s="523"/>
      <c r="AG33" s="523"/>
      <c r="AH33" s="523"/>
      <c r="AI33" s="523"/>
      <c r="AJ33" s="523"/>
      <c r="AK33" s="523"/>
    </row>
    <row r="34" spans="2:37" outlineLevel="1" x14ac:dyDescent="0.3">
      <c r="B34" s="1" t="s">
        <v>53</v>
      </c>
      <c r="C34" s="537"/>
      <c r="D34" s="523"/>
      <c r="E34" s="523"/>
      <c r="F34" s="523"/>
      <c r="G34" s="523"/>
      <c r="H34" s="523"/>
      <c r="I34" s="523"/>
      <c r="J34" s="523"/>
      <c r="K34" s="39"/>
      <c r="L34" s="537"/>
      <c r="M34" s="523"/>
      <c r="N34" s="523"/>
      <c r="O34" s="523"/>
      <c r="P34" s="523"/>
      <c r="Q34" s="523"/>
      <c r="R34" s="523"/>
      <c r="S34" s="523"/>
      <c r="U34" s="537"/>
      <c r="V34" s="523"/>
      <c r="W34" s="523"/>
      <c r="X34" s="523"/>
      <c r="Y34" s="523"/>
      <c r="Z34" s="523"/>
      <c r="AA34" s="523"/>
      <c r="AB34" s="523"/>
      <c r="AD34" s="523"/>
      <c r="AE34" s="523"/>
      <c r="AF34" s="523"/>
      <c r="AG34" s="523"/>
      <c r="AH34" s="523"/>
      <c r="AI34" s="523"/>
      <c r="AJ34" s="523"/>
      <c r="AK34" s="523"/>
    </row>
    <row r="35" spans="2:37" outlineLevel="1" x14ac:dyDescent="0.3">
      <c r="B35" s="1" t="s">
        <v>54</v>
      </c>
      <c r="C35" s="537"/>
      <c r="D35" s="523"/>
      <c r="E35" s="523"/>
      <c r="F35" s="523"/>
      <c r="G35" s="523"/>
      <c r="H35" s="523"/>
      <c r="I35" s="523"/>
      <c r="J35" s="523"/>
      <c r="K35" s="39"/>
      <c r="L35" s="537"/>
      <c r="M35" s="523"/>
      <c r="N35" s="523"/>
      <c r="O35" s="523"/>
      <c r="P35" s="523"/>
      <c r="Q35" s="523"/>
      <c r="R35" s="523"/>
      <c r="S35" s="523"/>
      <c r="U35" s="537"/>
      <c r="V35" s="523"/>
      <c r="W35" s="523"/>
      <c r="X35" s="523"/>
      <c r="Y35" s="523"/>
      <c r="Z35" s="523"/>
      <c r="AA35" s="523"/>
      <c r="AB35" s="523"/>
      <c r="AD35" s="523"/>
      <c r="AE35" s="523"/>
      <c r="AF35" s="523"/>
      <c r="AG35" s="523"/>
      <c r="AH35" s="523"/>
      <c r="AI35" s="523"/>
      <c r="AJ35" s="523"/>
      <c r="AK35" s="523"/>
    </row>
    <row r="36" spans="2:37" outlineLevel="1" x14ac:dyDescent="0.3">
      <c r="B36" s="1" t="s">
        <v>55</v>
      </c>
      <c r="C36" s="537"/>
      <c r="D36" s="523"/>
      <c r="E36" s="523"/>
      <c r="F36" s="523"/>
      <c r="G36" s="523"/>
      <c r="H36" s="523"/>
      <c r="I36" s="523"/>
      <c r="J36" s="523"/>
      <c r="K36" s="39"/>
      <c r="L36" s="523"/>
      <c r="M36" s="523"/>
      <c r="N36" s="523"/>
      <c r="O36" s="523"/>
      <c r="P36" s="523"/>
      <c r="Q36" s="523"/>
      <c r="R36" s="523"/>
      <c r="S36" s="523"/>
      <c r="U36" s="537"/>
      <c r="V36" s="523"/>
      <c r="W36" s="523"/>
      <c r="X36" s="523"/>
      <c r="Y36" s="523"/>
      <c r="Z36" s="523"/>
      <c r="AA36" s="523"/>
      <c r="AB36" s="523"/>
      <c r="AD36" s="523"/>
      <c r="AE36" s="523"/>
      <c r="AF36" s="523"/>
      <c r="AG36" s="523"/>
      <c r="AH36" s="523"/>
      <c r="AI36" s="523"/>
      <c r="AJ36" s="523"/>
      <c r="AK36" s="523"/>
    </row>
    <row r="37" spans="2:37" outlineLevel="1" x14ac:dyDescent="0.3">
      <c r="B37" s="1" t="s">
        <v>56</v>
      </c>
      <c r="C37" s="537"/>
      <c r="D37" s="523"/>
      <c r="E37" s="523"/>
      <c r="F37" s="523"/>
      <c r="G37" s="523"/>
      <c r="H37" s="523"/>
      <c r="I37" s="523"/>
      <c r="J37" s="523"/>
      <c r="K37" s="39"/>
      <c r="L37" s="537"/>
      <c r="M37" s="523"/>
      <c r="N37" s="523"/>
      <c r="O37" s="523"/>
      <c r="P37" s="523"/>
      <c r="Q37" s="523"/>
      <c r="R37" s="523"/>
      <c r="S37" s="523"/>
      <c r="U37" s="537"/>
      <c r="V37" s="523"/>
      <c r="W37" s="523"/>
      <c r="X37" s="523"/>
      <c r="Y37" s="523"/>
      <c r="Z37" s="523"/>
      <c r="AA37" s="523"/>
      <c r="AB37" s="523"/>
      <c r="AD37" s="523"/>
      <c r="AE37" s="523"/>
      <c r="AF37" s="523"/>
      <c r="AG37" s="523"/>
      <c r="AH37" s="523"/>
      <c r="AI37" s="523"/>
      <c r="AJ37" s="523"/>
      <c r="AK37" s="523"/>
    </row>
    <row r="38" spans="2:37" outlineLevel="1" x14ac:dyDescent="0.3">
      <c r="B38" s="1" t="s">
        <v>57</v>
      </c>
      <c r="C38" s="537"/>
      <c r="D38" s="523"/>
      <c r="E38" s="523"/>
      <c r="F38" s="523"/>
      <c r="G38" s="523"/>
      <c r="H38" s="523"/>
      <c r="I38" s="523"/>
      <c r="J38" s="523"/>
      <c r="K38" s="39"/>
      <c r="L38" s="537"/>
      <c r="M38" s="523"/>
      <c r="N38" s="523"/>
      <c r="O38" s="523"/>
      <c r="P38" s="523"/>
      <c r="Q38" s="523"/>
      <c r="R38" s="523"/>
      <c r="S38" s="523"/>
      <c r="U38" s="537"/>
      <c r="V38" s="523"/>
      <c r="W38" s="523"/>
      <c r="X38" s="523"/>
      <c r="Y38" s="523"/>
      <c r="Z38" s="523"/>
      <c r="AA38" s="523"/>
      <c r="AB38" s="523"/>
      <c r="AD38" s="523"/>
      <c r="AE38" s="523"/>
      <c r="AF38" s="523"/>
      <c r="AG38" s="523"/>
      <c r="AH38" s="523"/>
      <c r="AI38" s="523"/>
      <c r="AJ38" s="523"/>
      <c r="AK38" s="523"/>
    </row>
    <row r="39" spans="2:37" outlineLevel="1" x14ac:dyDescent="0.3">
      <c r="B39" s="1" t="s">
        <v>48</v>
      </c>
      <c r="C39" s="537"/>
      <c r="D39" s="523"/>
      <c r="E39" s="523"/>
      <c r="F39" s="523"/>
      <c r="G39" s="523"/>
      <c r="H39" s="523"/>
      <c r="I39" s="523"/>
      <c r="J39" s="523"/>
      <c r="K39" s="39"/>
      <c r="L39" s="537"/>
      <c r="M39" s="523"/>
      <c r="N39" s="523"/>
      <c r="O39" s="523"/>
      <c r="P39" s="523"/>
      <c r="Q39" s="523"/>
      <c r="R39" s="523"/>
      <c r="S39" s="523"/>
      <c r="U39" s="537"/>
      <c r="V39" s="523"/>
      <c r="W39" s="523"/>
      <c r="X39" s="523"/>
      <c r="Y39" s="523"/>
      <c r="Z39" s="523"/>
      <c r="AA39" s="523"/>
      <c r="AB39" s="523"/>
      <c r="AD39" s="523"/>
      <c r="AE39" s="523"/>
      <c r="AF39" s="523"/>
      <c r="AG39" s="523"/>
      <c r="AH39" s="523"/>
      <c r="AI39" s="523"/>
      <c r="AJ39" s="523"/>
      <c r="AK39" s="523"/>
    </row>
    <row r="40" spans="2:37" outlineLevel="1" x14ac:dyDescent="0.3">
      <c r="B40" s="1" t="s">
        <v>49</v>
      </c>
      <c r="C40" s="537"/>
      <c r="D40" s="523"/>
      <c r="E40" s="523"/>
      <c r="F40" s="523"/>
      <c r="G40" s="523"/>
      <c r="H40" s="523"/>
      <c r="I40" s="523"/>
      <c r="J40" s="523"/>
      <c r="K40" s="39"/>
      <c r="L40" s="537"/>
      <c r="M40" s="523"/>
      <c r="N40" s="523"/>
      <c r="O40" s="523"/>
      <c r="P40" s="523"/>
      <c r="Q40" s="523"/>
      <c r="R40" s="523"/>
      <c r="S40" s="523"/>
      <c r="U40" s="537"/>
      <c r="V40" s="523"/>
      <c r="W40" s="523"/>
      <c r="X40" s="523"/>
      <c r="Y40" s="523"/>
      <c r="Z40" s="523"/>
      <c r="AA40" s="523"/>
      <c r="AB40" s="523"/>
      <c r="AD40" s="523"/>
      <c r="AE40" s="523"/>
      <c r="AF40" s="523"/>
      <c r="AG40" s="523"/>
      <c r="AH40" s="523"/>
      <c r="AI40" s="523"/>
      <c r="AJ40" s="523"/>
      <c r="AK40" s="523"/>
    </row>
    <row r="41" spans="2:37" outlineLevel="1" x14ac:dyDescent="0.3">
      <c r="B41" s="1" t="s">
        <v>50</v>
      </c>
      <c r="C41" s="570"/>
      <c r="D41" s="525"/>
      <c r="E41" s="525"/>
      <c r="F41" s="525"/>
      <c r="G41" s="525"/>
      <c r="H41" s="525"/>
      <c r="I41" s="525"/>
      <c r="J41" s="525"/>
      <c r="K41" s="39"/>
      <c r="L41" s="570"/>
      <c r="M41" s="525"/>
      <c r="N41" s="525"/>
      <c r="O41" s="525"/>
      <c r="P41" s="525"/>
      <c r="Q41" s="525"/>
      <c r="R41" s="525"/>
      <c r="S41" s="525"/>
      <c r="U41" s="570"/>
      <c r="V41" s="525"/>
      <c r="W41" s="525"/>
      <c r="X41" s="525"/>
      <c r="Y41" s="525"/>
      <c r="Z41" s="525"/>
      <c r="AA41" s="525"/>
      <c r="AB41" s="525"/>
      <c r="AD41" s="525"/>
      <c r="AE41" s="525"/>
      <c r="AF41" s="525"/>
      <c r="AG41" s="525"/>
      <c r="AH41" s="525"/>
      <c r="AI41" s="525"/>
      <c r="AJ41" s="525"/>
      <c r="AK41" s="525"/>
    </row>
    <row r="42" spans="2:37" outlineLevel="1" x14ac:dyDescent="0.3">
      <c r="B42" s="57" t="s">
        <v>291</v>
      </c>
      <c r="C42" s="523"/>
      <c r="D42" s="523"/>
      <c r="E42" s="523"/>
      <c r="F42" s="523"/>
      <c r="G42" s="523"/>
      <c r="H42" s="523"/>
      <c r="I42" s="523"/>
      <c r="J42" s="523"/>
      <c r="L42" s="523"/>
      <c r="M42" s="523"/>
      <c r="N42" s="523"/>
      <c r="O42" s="523"/>
      <c r="P42" s="523"/>
      <c r="Q42" s="523"/>
      <c r="R42" s="523"/>
      <c r="S42" s="523"/>
      <c r="T42" s="34"/>
      <c r="U42" s="523"/>
      <c r="V42" s="523"/>
      <c r="W42" s="523"/>
      <c r="X42" s="523"/>
      <c r="Y42" s="523"/>
      <c r="Z42" s="523"/>
      <c r="AA42" s="523"/>
      <c r="AB42" s="523"/>
      <c r="AD42" s="523"/>
      <c r="AE42" s="523"/>
      <c r="AF42" s="523"/>
      <c r="AG42" s="523"/>
      <c r="AH42" s="523"/>
      <c r="AI42" s="523"/>
      <c r="AJ42" s="523"/>
      <c r="AK42" s="523"/>
    </row>
    <row r="43" spans="2:37" outlineLevel="1" x14ac:dyDescent="0.3"/>
    <row r="44" spans="2:37" x14ac:dyDescent="0.3">
      <c r="B44" s="2" t="s">
        <v>343</v>
      </c>
      <c r="C44" s="226">
        <f>CP_Yr_4</f>
        <v>43800</v>
      </c>
      <c r="D44" s="226">
        <f>CP_Yr_5</f>
        <v>44166</v>
      </c>
      <c r="E44" s="226">
        <f>Stub</f>
        <v>44377</v>
      </c>
      <c r="F44" s="226">
        <f>Yr_1</f>
        <v>44742</v>
      </c>
      <c r="G44" s="226">
        <f>Yr_2</f>
        <v>45107</v>
      </c>
      <c r="H44" s="226">
        <f>Yr_3</f>
        <v>45473</v>
      </c>
      <c r="I44" s="226">
        <f>Yr_4</f>
        <v>45838</v>
      </c>
      <c r="J44" s="226">
        <f>Yr_5</f>
        <v>46203</v>
      </c>
      <c r="K44" s="226"/>
      <c r="L44" s="226">
        <f>CP_Yr_4</f>
        <v>43800</v>
      </c>
      <c r="M44" s="226">
        <f>CP_Yr_5</f>
        <v>44166</v>
      </c>
      <c r="N44" s="226">
        <f>Stub</f>
        <v>44377</v>
      </c>
      <c r="O44" s="226">
        <f>Yr_1</f>
        <v>44742</v>
      </c>
      <c r="P44" s="226">
        <f>Yr_2</f>
        <v>45107</v>
      </c>
      <c r="Q44" s="226">
        <f>Yr_3</f>
        <v>45473</v>
      </c>
      <c r="R44" s="226">
        <f>Yr_4</f>
        <v>45838</v>
      </c>
      <c r="S44" s="226">
        <f>Yr_5</f>
        <v>46203</v>
      </c>
      <c r="T44" s="336"/>
      <c r="U44" s="226">
        <f>CP_Yr_4</f>
        <v>43800</v>
      </c>
      <c r="V44" s="226">
        <f>CP_Yr_5</f>
        <v>44166</v>
      </c>
      <c r="W44" s="226">
        <f>Stub</f>
        <v>44377</v>
      </c>
      <c r="X44" s="226">
        <f>Yr_1</f>
        <v>44742</v>
      </c>
      <c r="Y44" s="226">
        <f>Yr_2</f>
        <v>45107</v>
      </c>
      <c r="Z44" s="226">
        <f>Yr_3</f>
        <v>45473</v>
      </c>
      <c r="AA44" s="226">
        <f>Yr_4</f>
        <v>45838</v>
      </c>
      <c r="AB44" s="226">
        <f>Yr_5</f>
        <v>46203</v>
      </c>
      <c r="AC44" s="336"/>
      <c r="AD44" s="226">
        <f>CP_Yr_4</f>
        <v>43800</v>
      </c>
      <c r="AE44" s="226">
        <f>CP_Yr_5</f>
        <v>44166</v>
      </c>
      <c r="AF44" s="226">
        <f>Stub</f>
        <v>44377</v>
      </c>
      <c r="AG44" s="226">
        <f>Yr_1</f>
        <v>44742</v>
      </c>
      <c r="AH44" s="226">
        <f>Yr_2</f>
        <v>45107</v>
      </c>
      <c r="AI44" s="226">
        <f>Yr_3</f>
        <v>45473</v>
      </c>
      <c r="AJ44" s="226">
        <f>Yr_4</f>
        <v>45838</v>
      </c>
      <c r="AK44" s="226">
        <f>Yr_5</f>
        <v>46203</v>
      </c>
    </row>
    <row r="45" spans="2:37" x14ac:dyDescent="0.3">
      <c r="B45" s="103" t="s">
        <v>167</v>
      </c>
      <c r="C45" s="570"/>
      <c r="D45" s="572"/>
      <c r="E45" s="572"/>
      <c r="F45" s="572"/>
      <c r="G45" s="572"/>
      <c r="H45" s="572"/>
      <c r="I45" s="572"/>
      <c r="J45" s="572"/>
      <c r="K45" s="36"/>
      <c r="L45" s="570"/>
      <c r="M45" s="571"/>
      <c r="N45" s="571"/>
      <c r="O45" s="571"/>
      <c r="P45" s="571"/>
      <c r="Q45" s="571"/>
      <c r="R45" s="571"/>
      <c r="S45" s="571"/>
      <c r="U45" s="525"/>
      <c r="V45" s="525"/>
      <c r="W45" s="525"/>
      <c r="X45" s="525"/>
      <c r="Y45" s="525"/>
      <c r="Z45" s="525"/>
      <c r="AA45" s="525"/>
      <c r="AB45" s="525"/>
      <c r="AD45" s="525"/>
      <c r="AE45" s="525"/>
      <c r="AF45" s="525"/>
      <c r="AG45" s="525"/>
      <c r="AH45" s="525"/>
      <c r="AI45" s="525"/>
      <c r="AJ45" s="525"/>
      <c r="AK45" s="525"/>
    </row>
    <row r="46" spans="2:37" x14ac:dyDescent="0.3">
      <c r="B46" s="1" t="s">
        <v>226</v>
      </c>
      <c r="C46" s="523"/>
      <c r="D46" s="523"/>
      <c r="E46" s="523"/>
      <c r="F46" s="523"/>
      <c r="G46" s="523"/>
      <c r="H46" s="523"/>
      <c r="I46" s="523"/>
      <c r="J46" s="523"/>
      <c r="L46" s="523"/>
      <c r="M46" s="523"/>
      <c r="N46" s="523"/>
      <c r="O46" s="523"/>
      <c r="P46" s="523"/>
      <c r="Q46" s="523"/>
      <c r="R46" s="523"/>
      <c r="S46" s="523"/>
      <c r="U46" s="537"/>
      <c r="V46" s="523"/>
      <c r="W46" s="523"/>
      <c r="X46" s="523"/>
      <c r="Y46" s="523"/>
      <c r="Z46" s="523"/>
      <c r="AA46" s="523"/>
      <c r="AB46" s="523"/>
      <c r="AD46" s="523"/>
      <c r="AE46" s="523"/>
      <c r="AF46" s="523"/>
      <c r="AG46" s="523"/>
      <c r="AH46" s="523"/>
      <c r="AI46" s="523"/>
      <c r="AJ46" s="523"/>
      <c r="AK46" s="523"/>
    </row>
    <row r="47" spans="2:37" x14ac:dyDescent="0.3">
      <c r="B47" s="1" t="s">
        <v>227</v>
      </c>
      <c r="C47" s="523"/>
      <c r="D47" s="523"/>
      <c r="E47" s="523"/>
      <c r="F47" s="523"/>
      <c r="G47" s="523"/>
      <c r="H47" s="523"/>
      <c r="I47" s="523"/>
      <c r="J47" s="523"/>
      <c r="L47" s="523"/>
      <c r="M47" s="523"/>
      <c r="N47" s="523"/>
      <c r="O47" s="523"/>
      <c r="P47" s="523"/>
      <c r="Q47" s="523"/>
      <c r="R47" s="523"/>
      <c r="S47" s="523"/>
      <c r="U47" s="537"/>
      <c r="V47" s="523"/>
      <c r="W47" s="523"/>
      <c r="X47" s="523"/>
      <c r="Y47" s="523"/>
      <c r="Z47" s="523"/>
      <c r="AA47" s="523"/>
      <c r="AB47" s="523"/>
      <c r="AD47" s="523"/>
      <c r="AE47" s="523"/>
      <c r="AF47" s="523"/>
      <c r="AG47" s="523"/>
      <c r="AH47" s="523"/>
      <c r="AI47" s="523"/>
      <c r="AJ47" s="523"/>
      <c r="AK47" s="523"/>
    </row>
    <row r="48" spans="2:37" x14ac:dyDescent="0.3">
      <c r="B48" s="1" t="s">
        <v>228</v>
      </c>
      <c r="C48" s="523"/>
      <c r="D48" s="523"/>
      <c r="E48" s="523"/>
      <c r="F48" s="523"/>
      <c r="G48" s="523"/>
      <c r="H48" s="523"/>
      <c r="I48" s="523"/>
      <c r="J48" s="523"/>
      <c r="L48" s="523"/>
      <c r="M48" s="523"/>
      <c r="N48" s="523"/>
      <c r="O48" s="523"/>
      <c r="P48" s="523"/>
      <c r="Q48" s="523"/>
      <c r="R48" s="523"/>
      <c r="S48" s="523"/>
      <c r="U48" s="537"/>
      <c r="V48" s="523"/>
      <c r="W48" s="523"/>
      <c r="X48" s="523"/>
      <c r="Y48" s="523"/>
      <c r="Z48" s="523"/>
      <c r="AA48" s="523"/>
      <c r="AB48" s="523"/>
      <c r="AD48" s="523"/>
      <c r="AE48" s="523"/>
      <c r="AF48" s="523"/>
      <c r="AG48" s="523"/>
      <c r="AH48" s="523"/>
      <c r="AI48" s="523"/>
      <c r="AJ48" s="523"/>
      <c r="AK48" s="523"/>
    </row>
    <row r="49" spans="2:37" x14ac:dyDescent="0.3">
      <c r="B49" s="1" t="s">
        <v>229</v>
      </c>
      <c r="C49" s="523"/>
      <c r="D49" s="523"/>
      <c r="E49" s="523"/>
      <c r="F49" s="523"/>
      <c r="G49" s="523"/>
      <c r="H49" s="523"/>
      <c r="I49" s="523"/>
      <c r="J49" s="523"/>
      <c r="L49" s="523"/>
      <c r="M49" s="523"/>
      <c r="N49" s="523"/>
      <c r="O49" s="523"/>
      <c r="P49" s="523"/>
      <c r="Q49" s="523"/>
      <c r="R49" s="523"/>
      <c r="S49" s="523"/>
      <c r="U49" s="537"/>
      <c r="V49" s="523"/>
      <c r="W49" s="523"/>
      <c r="X49" s="523"/>
      <c r="Y49" s="523"/>
      <c r="Z49" s="523"/>
      <c r="AA49" s="523"/>
      <c r="AB49" s="523"/>
      <c r="AD49" s="523"/>
      <c r="AE49" s="523"/>
      <c r="AF49" s="523"/>
      <c r="AG49" s="523"/>
      <c r="AH49" s="523"/>
      <c r="AI49" s="523"/>
      <c r="AJ49" s="523"/>
      <c r="AK49" s="523"/>
    </row>
    <row r="50" spans="2:37" x14ac:dyDescent="0.3">
      <c r="B50" s="1" t="s">
        <v>230</v>
      </c>
      <c r="C50" s="523"/>
      <c r="D50" s="523"/>
      <c r="E50" s="523"/>
      <c r="F50" s="523"/>
      <c r="G50" s="523"/>
      <c r="H50" s="523"/>
      <c r="I50" s="523"/>
      <c r="J50" s="523"/>
      <c r="L50" s="523"/>
      <c r="M50" s="523"/>
      <c r="N50" s="523"/>
      <c r="O50" s="523"/>
      <c r="P50" s="523"/>
      <c r="Q50" s="523"/>
      <c r="R50" s="523"/>
      <c r="S50" s="523"/>
      <c r="U50" s="537"/>
      <c r="V50" s="523"/>
      <c r="W50" s="523"/>
      <c r="X50" s="523"/>
      <c r="Y50" s="523"/>
      <c r="Z50" s="523"/>
      <c r="AA50" s="523"/>
      <c r="AB50" s="523"/>
      <c r="AD50" s="523"/>
      <c r="AE50" s="523"/>
      <c r="AF50" s="523"/>
      <c r="AG50" s="523"/>
      <c r="AH50" s="523"/>
      <c r="AI50" s="523"/>
      <c r="AJ50" s="523"/>
      <c r="AK50" s="523"/>
    </row>
    <row r="51" spans="2:37" x14ac:dyDescent="0.3">
      <c r="B51" s="1" t="s">
        <v>231</v>
      </c>
      <c r="C51" s="523"/>
      <c r="D51" s="523"/>
      <c r="E51" s="523"/>
      <c r="F51" s="523"/>
      <c r="G51" s="523"/>
      <c r="H51" s="523"/>
      <c r="I51" s="523"/>
      <c r="J51" s="523"/>
      <c r="L51" s="523"/>
      <c r="M51" s="523"/>
      <c r="N51" s="523"/>
      <c r="O51" s="523"/>
      <c r="P51" s="523"/>
      <c r="Q51" s="523"/>
      <c r="R51" s="523"/>
      <c r="S51" s="523"/>
      <c r="U51" s="537"/>
      <c r="V51" s="523"/>
      <c r="W51" s="523"/>
      <c r="X51" s="523"/>
      <c r="Y51" s="523"/>
      <c r="Z51" s="523"/>
      <c r="AA51" s="523"/>
      <c r="AB51" s="523"/>
      <c r="AD51" s="523"/>
      <c r="AE51" s="523"/>
      <c r="AF51" s="523"/>
      <c r="AG51" s="523"/>
      <c r="AH51" s="523"/>
      <c r="AI51" s="523"/>
      <c r="AJ51" s="523"/>
      <c r="AK51" s="523"/>
    </row>
    <row r="52" spans="2:37" x14ac:dyDescent="0.3">
      <c r="B52" s="1" t="s">
        <v>232</v>
      </c>
      <c r="C52" s="523"/>
      <c r="D52" s="523"/>
      <c r="E52" s="523"/>
      <c r="F52" s="523"/>
      <c r="G52" s="523"/>
      <c r="H52" s="523"/>
      <c r="I52" s="523"/>
      <c r="J52" s="523"/>
      <c r="L52" s="523"/>
      <c r="M52" s="523"/>
      <c r="N52" s="523"/>
      <c r="O52" s="523"/>
      <c r="P52" s="523"/>
      <c r="Q52" s="523"/>
      <c r="R52" s="523"/>
      <c r="S52" s="523"/>
      <c r="U52" s="537"/>
      <c r="V52" s="523"/>
      <c r="W52" s="523"/>
      <c r="X52" s="523"/>
      <c r="Y52" s="523"/>
      <c r="Z52" s="523"/>
      <c r="AA52" s="523"/>
      <c r="AB52" s="523"/>
      <c r="AD52" s="523"/>
      <c r="AE52" s="523"/>
      <c r="AF52" s="523"/>
      <c r="AG52" s="523"/>
      <c r="AH52" s="523"/>
      <c r="AI52" s="523"/>
      <c r="AJ52" s="523"/>
      <c r="AK52" s="523"/>
    </row>
    <row r="53" spans="2:37" x14ac:dyDescent="0.3">
      <c r="B53" s="1" t="s">
        <v>176</v>
      </c>
      <c r="C53" s="523"/>
      <c r="D53" s="523"/>
      <c r="E53" s="523"/>
      <c r="F53" s="523"/>
      <c r="G53" s="523"/>
      <c r="H53" s="523"/>
      <c r="I53" s="523"/>
      <c r="J53" s="523"/>
      <c r="L53" s="523"/>
      <c r="M53" s="523"/>
      <c r="N53" s="523"/>
      <c r="O53" s="523"/>
      <c r="P53" s="523"/>
      <c r="Q53" s="523"/>
      <c r="R53" s="523"/>
      <c r="S53" s="523"/>
      <c r="U53" s="537"/>
      <c r="V53" s="523"/>
      <c r="W53" s="523"/>
      <c r="X53" s="523"/>
      <c r="Y53" s="523"/>
      <c r="Z53" s="523"/>
      <c r="AA53" s="523"/>
      <c r="AB53" s="523"/>
      <c r="AD53" s="523"/>
      <c r="AE53" s="523"/>
      <c r="AF53" s="523"/>
      <c r="AG53" s="523"/>
      <c r="AH53" s="523"/>
      <c r="AI53" s="523"/>
      <c r="AJ53" s="523"/>
      <c r="AK53" s="523"/>
    </row>
    <row r="54" spans="2:37" x14ac:dyDescent="0.3">
      <c r="B54" s="1" t="s">
        <v>233</v>
      </c>
      <c r="C54" s="523"/>
      <c r="D54" s="523"/>
      <c r="E54" s="523"/>
      <c r="F54" s="523"/>
      <c r="G54" s="523"/>
      <c r="H54" s="523"/>
      <c r="I54" s="523"/>
      <c r="J54" s="523"/>
      <c r="L54" s="523"/>
      <c r="M54" s="523"/>
      <c r="N54" s="523"/>
      <c r="O54" s="523"/>
      <c r="P54" s="523"/>
      <c r="Q54" s="523"/>
      <c r="R54" s="523"/>
      <c r="S54" s="523"/>
      <c r="U54" s="537"/>
      <c r="V54" s="523"/>
      <c r="W54" s="523"/>
      <c r="X54" s="523"/>
      <c r="Y54" s="523"/>
      <c r="Z54" s="523"/>
      <c r="AA54" s="523"/>
      <c r="AB54" s="523"/>
      <c r="AD54" s="523"/>
      <c r="AE54" s="523"/>
      <c r="AF54" s="523"/>
      <c r="AG54" s="523"/>
      <c r="AH54" s="523"/>
      <c r="AI54" s="523"/>
      <c r="AJ54" s="523"/>
      <c r="AK54" s="523"/>
    </row>
    <row r="55" spans="2:37" x14ac:dyDescent="0.3">
      <c r="B55" s="1" t="s">
        <v>323</v>
      </c>
      <c r="C55" s="523"/>
      <c r="D55" s="523"/>
      <c r="E55" s="523"/>
      <c r="F55" s="523"/>
      <c r="G55" s="523"/>
      <c r="H55" s="523"/>
      <c r="I55" s="523"/>
      <c r="J55" s="523"/>
      <c r="L55" s="523"/>
      <c r="M55" s="523"/>
      <c r="N55" s="523"/>
      <c r="O55" s="523"/>
      <c r="P55" s="523"/>
      <c r="Q55" s="523"/>
      <c r="R55" s="523"/>
      <c r="S55" s="523"/>
      <c r="U55" s="537"/>
      <c r="V55" s="523"/>
      <c r="W55" s="523"/>
      <c r="X55" s="523"/>
      <c r="Y55" s="523"/>
      <c r="Z55" s="523"/>
      <c r="AA55" s="523"/>
      <c r="AB55" s="523"/>
      <c r="AD55" s="523"/>
      <c r="AE55" s="523"/>
      <c r="AF55" s="523"/>
      <c r="AG55" s="523"/>
      <c r="AH55" s="523"/>
      <c r="AI55" s="523"/>
      <c r="AJ55" s="523"/>
      <c r="AK55" s="523"/>
    </row>
    <row r="56" spans="2:37" x14ac:dyDescent="0.3">
      <c r="B56" s="1" t="s">
        <v>234</v>
      </c>
      <c r="C56" s="525"/>
      <c r="D56" s="525"/>
      <c r="E56" s="525"/>
      <c r="F56" s="525"/>
      <c r="G56" s="525"/>
      <c r="H56" s="525"/>
      <c r="I56" s="525"/>
      <c r="J56" s="525"/>
      <c r="L56" s="525"/>
      <c r="M56" s="525"/>
      <c r="N56" s="525"/>
      <c r="O56" s="525"/>
      <c r="P56" s="525"/>
      <c r="Q56" s="525"/>
      <c r="R56" s="525"/>
      <c r="S56" s="525"/>
      <c r="U56" s="570"/>
      <c r="V56" s="525"/>
      <c r="W56" s="525"/>
      <c r="X56" s="525"/>
      <c r="Y56" s="525"/>
      <c r="Z56" s="525"/>
      <c r="AA56" s="525"/>
      <c r="AB56" s="525"/>
      <c r="AD56" s="525"/>
      <c r="AE56" s="525"/>
      <c r="AF56" s="525"/>
      <c r="AG56" s="525"/>
      <c r="AH56" s="525"/>
      <c r="AI56" s="525"/>
      <c r="AJ56" s="525"/>
      <c r="AK56" s="525"/>
    </row>
    <row r="57" spans="2:37" x14ac:dyDescent="0.3">
      <c r="B57" s="57" t="s">
        <v>344</v>
      </c>
      <c r="C57" s="523"/>
      <c r="D57" s="523"/>
      <c r="E57" s="523"/>
      <c r="F57" s="523"/>
      <c r="G57" s="523"/>
      <c r="H57" s="523"/>
      <c r="I57" s="523"/>
      <c r="J57" s="523"/>
      <c r="L57" s="523"/>
      <c r="M57" s="523"/>
      <c r="N57" s="523"/>
      <c r="O57" s="523"/>
      <c r="P57" s="523"/>
      <c r="Q57" s="523"/>
      <c r="R57" s="523"/>
      <c r="S57" s="523"/>
      <c r="U57" s="523"/>
      <c r="V57" s="523"/>
      <c r="W57" s="523"/>
      <c r="X57" s="523"/>
      <c r="Y57" s="523"/>
      <c r="Z57" s="523"/>
      <c r="AA57" s="523"/>
      <c r="AB57" s="523"/>
      <c r="AD57" s="523"/>
      <c r="AE57" s="523"/>
      <c r="AF57" s="523"/>
      <c r="AG57" s="523"/>
      <c r="AH57" s="523"/>
      <c r="AI57" s="523"/>
      <c r="AJ57" s="523"/>
      <c r="AK57" s="523"/>
    </row>
    <row r="58" spans="2:37" x14ac:dyDescent="0.3">
      <c r="C58" s="166"/>
      <c r="L58" s="527"/>
      <c r="M58" s="527"/>
      <c r="N58" s="527"/>
      <c r="O58" s="527"/>
      <c r="P58" s="527"/>
      <c r="Q58" s="527"/>
      <c r="R58" s="527"/>
      <c r="S58" s="527"/>
      <c r="U58" s="527"/>
      <c r="V58" s="527"/>
      <c r="W58" s="527"/>
      <c r="X58" s="527"/>
      <c r="Y58" s="527"/>
      <c r="Z58" s="527"/>
      <c r="AA58" s="527"/>
      <c r="AB58" s="527"/>
      <c r="AD58" s="527"/>
      <c r="AE58" s="527"/>
      <c r="AF58" s="527"/>
      <c r="AG58" s="527"/>
      <c r="AH58" s="527"/>
      <c r="AI58" s="527"/>
      <c r="AJ58" s="527"/>
      <c r="AK58" s="527"/>
    </row>
    <row r="59" spans="2:37" x14ac:dyDescent="0.3">
      <c r="M59" s="39"/>
      <c r="N59" s="39"/>
      <c r="O59" s="39"/>
      <c r="P59" s="39"/>
      <c r="Q59" s="39"/>
      <c r="R59" s="39"/>
      <c r="S59" s="39"/>
    </row>
  </sheetData>
  <mergeCells count="1">
    <mergeCell ref="H1:I1"/>
  </mergeCells>
  <hyperlinks>
    <hyperlink ref="B2" location="Contents!A1" display="Table of Contents" xr:uid="{00000000-0004-0000-1500-000000000000}"/>
  </hyperlink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8" tint="-0.499984740745262"/>
  </sheetPr>
  <dimension ref="C3:C4"/>
  <sheetViews>
    <sheetView zoomScale="85" zoomScaleNormal="85" zoomScalePageLayoutView="125" workbookViewId="0">
      <selection activeCell="K24" sqref="K24"/>
    </sheetView>
  </sheetViews>
  <sheetFormatPr defaultColWidth="8.88671875" defaultRowHeight="14.4" x14ac:dyDescent="0.3"/>
  <cols>
    <col min="1" max="16384" width="8.88671875" style="22"/>
  </cols>
  <sheetData>
    <row r="3" spans="3:3" ht="18" x14ac:dyDescent="0.35">
      <c r="C3" s="21" t="s">
        <v>294</v>
      </c>
    </row>
    <row r="4" spans="3:3" x14ac:dyDescent="0.3">
      <c r="C4" s="26" t="s">
        <v>6</v>
      </c>
    </row>
  </sheetData>
  <hyperlinks>
    <hyperlink ref="C4" location="Contents!A1" display="Table of Contents" xr:uid="{00000000-0004-0000-1600-000000000000}"/>
  </hyperlinks>
  <pageMargins left="0.7" right="0.7" top="0.75" bottom="0.75" header="0.3" footer="0.3"/>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dimension ref="B1:AD61"/>
  <sheetViews>
    <sheetView zoomScale="85" zoomScaleNormal="85" zoomScalePageLayoutView="125" workbookViewId="0">
      <pane ySplit="5" topLeftCell="A6" activePane="bottomLeft" state="frozen"/>
      <selection activeCell="K24" sqref="K24"/>
      <selection pane="bottomLeft" activeCell="Q30" sqref="Q30"/>
    </sheetView>
  </sheetViews>
  <sheetFormatPr defaultColWidth="8.88671875" defaultRowHeight="14.4" outlineLevelCol="1" x14ac:dyDescent="0.3"/>
  <cols>
    <col min="1" max="2" width="4.44140625" style="1" customWidth="1"/>
    <col min="3" max="3" width="4.6640625" style="1" customWidth="1"/>
    <col min="4" max="4" width="35.44140625" style="1" customWidth="1"/>
    <col min="5" max="7" width="8.109375" style="1" customWidth="1" outlineLevel="1"/>
    <col min="8" max="12" width="9.44140625" style="1" customWidth="1"/>
    <col min="13" max="13" width="3.6640625" style="1" customWidth="1"/>
    <col min="14" max="14" width="5" style="1" customWidth="1"/>
    <col min="15" max="15" width="4.109375" style="1" customWidth="1"/>
    <col min="16" max="16" width="35.33203125" style="1" customWidth="1"/>
    <col min="17" max="19" width="8.44140625" style="1" customWidth="1" outlineLevel="1"/>
    <col min="20" max="24" width="8.88671875" style="1"/>
    <col min="25" max="25" width="6" style="1" customWidth="1"/>
    <col min="26" max="16384" width="8.88671875" style="1"/>
  </cols>
  <sheetData>
    <row r="1" spans="2:30" ht="18" x14ac:dyDescent="0.35">
      <c r="B1" s="10" t="s">
        <v>149</v>
      </c>
      <c r="H1" s="596" t="s">
        <v>749</v>
      </c>
      <c r="I1" s="596"/>
    </row>
    <row r="2" spans="2:30" x14ac:dyDescent="0.3">
      <c r="B2" s="25" t="s">
        <v>6</v>
      </c>
      <c r="O2" s="2"/>
    </row>
    <row r="4" spans="2:30" x14ac:dyDescent="0.3">
      <c r="C4" s="2" t="s">
        <v>615</v>
      </c>
      <c r="O4" s="2" t="s">
        <v>615</v>
      </c>
    </row>
    <row r="5" spans="2:30" x14ac:dyDescent="0.3">
      <c r="C5" s="96" t="s">
        <v>145</v>
      </c>
      <c r="D5" s="95"/>
      <c r="E5" s="337">
        <f>CP_Yr_4</f>
        <v>43800</v>
      </c>
      <c r="F5" s="337">
        <f>CP_Yr_5</f>
        <v>44166</v>
      </c>
      <c r="G5" s="337">
        <f>Stub</f>
        <v>44377</v>
      </c>
      <c r="H5" s="338">
        <f>Yr_1</f>
        <v>44742</v>
      </c>
      <c r="I5" s="337">
        <f>Yr_2</f>
        <v>45107</v>
      </c>
      <c r="J5" s="337">
        <f>Yr_3</f>
        <v>45473</v>
      </c>
      <c r="K5" s="337">
        <f>Yr_4</f>
        <v>45838</v>
      </c>
      <c r="L5" s="337">
        <f>Yr_5</f>
        <v>46203</v>
      </c>
      <c r="O5" s="98" t="s">
        <v>302</v>
      </c>
      <c r="P5" s="99"/>
      <c r="Q5" s="337">
        <f>CP_Yr_4</f>
        <v>43800</v>
      </c>
      <c r="R5" s="337">
        <f>CP_Yr_5</f>
        <v>44166</v>
      </c>
      <c r="S5" s="337">
        <f>Stub</f>
        <v>44377</v>
      </c>
      <c r="T5" s="338">
        <f>Yr_1</f>
        <v>44742</v>
      </c>
      <c r="U5" s="337">
        <f>Yr_2</f>
        <v>45107</v>
      </c>
      <c r="V5" s="337">
        <f>Yr_3</f>
        <v>45473</v>
      </c>
      <c r="W5" s="337">
        <f>Yr_4</f>
        <v>45838</v>
      </c>
      <c r="X5" s="337">
        <f>Yr_5</f>
        <v>46203</v>
      </c>
    </row>
    <row r="6" spans="2:30" ht="6" customHeight="1" x14ac:dyDescent="0.3">
      <c r="F6" s="36"/>
      <c r="G6" s="334"/>
      <c r="H6" s="44"/>
      <c r="I6" s="36"/>
      <c r="J6" s="36"/>
      <c r="K6" s="36"/>
      <c r="L6" s="36"/>
      <c r="R6" s="36"/>
      <c r="S6" s="334"/>
      <c r="T6" s="44"/>
      <c r="U6" s="36"/>
      <c r="V6" s="36"/>
      <c r="W6" s="36"/>
      <c r="X6" s="36"/>
    </row>
    <row r="7" spans="2:30" x14ac:dyDescent="0.3">
      <c r="C7" s="42" t="s">
        <v>25</v>
      </c>
      <c r="D7" s="42"/>
      <c r="E7" s="525"/>
      <c r="F7" s="525"/>
      <c r="G7" s="525"/>
      <c r="H7" s="562"/>
      <c r="I7" s="525"/>
      <c r="J7" s="525"/>
      <c r="K7" s="525"/>
      <c r="L7" s="525"/>
      <c r="O7" s="42" t="s">
        <v>25</v>
      </c>
      <c r="P7" s="42"/>
      <c r="Q7" s="525"/>
      <c r="R7" s="525"/>
      <c r="S7" s="525"/>
      <c r="T7" s="562"/>
      <c r="U7" s="525"/>
      <c r="V7" s="525"/>
      <c r="W7" s="525"/>
      <c r="X7" s="525"/>
      <c r="Z7" s="85">
        <f>IF(ISERROR((T7-H7)/H7),0,(T7-H7)/H7)</f>
        <v>0</v>
      </c>
      <c r="AA7" s="85">
        <f>IF(ISERROR((U7-I7)/I7),0,(U7-I7)/I7)</f>
        <v>0</v>
      </c>
      <c r="AB7" s="85">
        <f>IF(ISERROR((V7-J7)/J7),0,(V7-J7)/J7)</f>
        <v>0</v>
      </c>
      <c r="AC7" s="85">
        <f>IF(ISERROR((W7-K7)/K7),0,(W7-K7)/K7)</f>
        <v>0</v>
      </c>
      <c r="AD7" s="85">
        <f>IF(ISERROR((X7-L7)/L7),0,(X7-L7)/L7)</f>
        <v>0</v>
      </c>
    </row>
    <row r="8" spans="2:30" x14ac:dyDescent="0.3">
      <c r="D8" s="1" t="s">
        <v>399</v>
      </c>
      <c r="E8" s="523"/>
      <c r="F8" s="523"/>
      <c r="G8" s="523"/>
      <c r="H8" s="563"/>
      <c r="I8" s="523"/>
      <c r="J8" s="523"/>
      <c r="K8" s="523"/>
      <c r="L8" s="523"/>
      <c r="P8" s="1" t="str">
        <f>D8</f>
        <v>Demand driven Augmentation</v>
      </c>
      <c r="Q8" s="567"/>
      <c r="R8" s="523"/>
      <c r="S8" s="523"/>
      <c r="T8" s="563"/>
      <c r="U8" s="523"/>
      <c r="V8" s="523"/>
      <c r="W8" s="523"/>
      <c r="X8" s="523"/>
      <c r="Z8" s="85">
        <f t="shared" ref="Z8:Z9" si="0">IF(ISERROR((T8-H8)/H8),0,(T8-H8)/H8)</f>
        <v>0</v>
      </c>
      <c r="AA8" s="85">
        <f t="shared" ref="AA8:AA9" si="1">IF(ISERROR((U8-I8)/I8),0,(U8-I8)/I8)</f>
        <v>0</v>
      </c>
      <c r="AB8" s="85">
        <f t="shared" ref="AB8:AB9" si="2">IF(ISERROR((V8-J8)/J8),0,(V8-J8)/J8)</f>
        <v>0</v>
      </c>
      <c r="AC8" s="85">
        <f t="shared" ref="AC8:AC9" si="3">IF(ISERROR((W8-K8)/K8),0,(W8-K8)/K8)</f>
        <v>0</v>
      </c>
      <c r="AD8" s="85">
        <f t="shared" ref="AD8:AD9" si="4">IF(ISERROR((X8-L8)/L8),0,(X8-L8)/L8)</f>
        <v>0</v>
      </c>
    </row>
    <row r="9" spans="2:30" x14ac:dyDescent="0.3">
      <c r="D9" s="1" t="s">
        <v>580</v>
      </c>
      <c r="E9" s="537"/>
      <c r="F9" s="523"/>
      <c r="G9" s="523"/>
      <c r="H9" s="563"/>
      <c r="I9" s="523"/>
      <c r="J9" s="523"/>
      <c r="K9" s="523"/>
      <c r="L9" s="523"/>
      <c r="P9" s="1" t="str">
        <f>D9</f>
        <v>REFCL driven Augmentation</v>
      </c>
      <c r="Q9" s="537"/>
      <c r="R9" s="523"/>
      <c r="S9" s="523"/>
      <c r="T9" s="563"/>
      <c r="U9" s="523"/>
      <c r="V9" s="523"/>
      <c r="W9" s="523"/>
      <c r="X9" s="523"/>
      <c r="Z9" s="85">
        <f t="shared" si="0"/>
        <v>0</v>
      </c>
      <c r="AA9" s="85">
        <f t="shared" si="1"/>
        <v>0</v>
      </c>
      <c r="AB9" s="85">
        <f t="shared" si="2"/>
        <v>0</v>
      </c>
      <c r="AC9" s="85">
        <f t="shared" si="3"/>
        <v>0</v>
      </c>
      <c r="AD9" s="85">
        <f t="shared" si="4"/>
        <v>0</v>
      </c>
    </row>
    <row r="10" spans="2:30" x14ac:dyDescent="0.3">
      <c r="E10" s="537"/>
      <c r="F10" s="523"/>
      <c r="G10" s="523"/>
      <c r="H10" s="563"/>
      <c r="I10" s="523"/>
      <c r="J10" s="523"/>
      <c r="K10" s="523"/>
      <c r="L10" s="523"/>
      <c r="Q10" s="537"/>
      <c r="R10" s="523"/>
      <c r="S10" s="523"/>
      <c r="T10" s="563"/>
      <c r="U10" s="523"/>
      <c r="V10" s="523"/>
      <c r="W10" s="523"/>
      <c r="X10" s="523"/>
    </row>
    <row r="11" spans="2:30" x14ac:dyDescent="0.3">
      <c r="C11" s="42" t="s">
        <v>138</v>
      </c>
      <c r="D11" s="42"/>
      <c r="E11" s="525"/>
      <c r="F11" s="525"/>
      <c r="G11" s="525"/>
      <c r="H11" s="562"/>
      <c r="I11" s="525"/>
      <c r="J11" s="525"/>
      <c r="K11" s="525"/>
      <c r="L11" s="525"/>
      <c r="O11" s="42" t="s">
        <v>138</v>
      </c>
      <c r="P11" s="42"/>
      <c r="Q11" s="525"/>
      <c r="R11" s="525"/>
      <c r="S11" s="525"/>
      <c r="T11" s="562"/>
      <c r="U11" s="525"/>
      <c r="V11" s="525"/>
      <c r="W11" s="525"/>
      <c r="X11" s="525"/>
    </row>
    <row r="12" spans="2:30" x14ac:dyDescent="0.3">
      <c r="D12" s="1" t="s">
        <v>88</v>
      </c>
      <c r="E12" s="523"/>
      <c r="F12" s="523"/>
      <c r="G12" s="523"/>
      <c r="H12" s="563"/>
      <c r="I12" s="523"/>
      <c r="J12" s="523"/>
      <c r="K12" s="523"/>
      <c r="L12" s="523"/>
      <c r="P12" s="1" t="str">
        <f>D12</f>
        <v>Customer Capex (Gross)</v>
      </c>
      <c r="Q12" s="523"/>
      <c r="R12" s="523"/>
      <c r="S12" s="523"/>
      <c r="T12" s="563"/>
      <c r="U12" s="523"/>
      <c r="V12" s="523"/>
      <c r="W12" s="523"/>
      <c r="X12" s="523"/>
      <c r="Y12" s="52"/>
      <c r="Z12" s="85">
        <f>IF(ISERROR((T12-H12)/H12),0,(T12-H12)/H12)</f>
        <v>0</v>
      </c>
      <c r="AA12" s="85">
        <f>IF(ISERROR((U12-I12)/I12),0,(U12-I12)/I12)</f>
        <v>0</v>
      </c>
      <c r="AB12" s="85">
        <f>IF(ISERROR((V12-J12)/J12),0,(V12-J12)/J12)</f>
        <v>0</v>
      </c>
      <c r="AC12" s="85">
        <f>IF(ISERROR((W12-K12)/K12),0,(W12-K12)/K12)</f>
        <v>0</v>
      </c>
      <c r="AD12" s="85">
        <f>IF(ISERROR((X12-L12)/L12),0,(X12-L12)/L12)</f>
        <v>0</v>
      </c>
    </row>
    <row r="13" spans="2:30" x14ac:dyDescent="0.3">
      <c r="D13" s="1" t="s">
        <v>89</v>
      </c>
      <c r="E13" s="564"/>
      <c r="F13" s="564"/>
      <c r="G13" s="564"/>
      <c r="H13" s="563"/>
      <c r="I13" s="564"/>
      <c r="J13" s="564"/>
      <c r="K13" s="564"/>
      <c r="L13" s="564"/>
      <c r="P13" s="1" t="str">
        <f>D13</f>
        <v>Contributions</v>
      </c>
      <c r="Q13" s="564"/>
      <c r="R13" s="564"/>
      <c r="S13" s="564"/>
      <c r="T13" s="563"/>
      <c r="U13" s="564"/>
      <c r="V13" s="564"/>
      <c r="W13" s="564"/>
      <c r="X13" s="564"/>
      <c r="Y13" s="52"/>
    </row>
    <row r="14" spans="2:30" x14ac:dyDescent="0.3">
      <c r="E14" s="537"/>
      <c r="F14" s="523"/>
      <c r="G14" s="523"/>
      <c r="H14" s="563"/>
      <c r="I14" s="523"/>
      <c r="J14" s="523"/>
      <c r="K14" s="523"/>
      <c r="L14" s="523"/>
      <c r="Q14" s="537"/>
      <c r="R14" s="523"/>
      <c r="S14" s="523"/>
      <c r="T14" s="563"/>
      <c r="U14" s="523"/>
      <c r="V14" s="523"/>
      <c r="W14" s="523"/>
      <c r="X14" s="523"/>
    </row>
    <row r="15" spans="2:30" x14ac:dyDescent="0.3">
      <c r="C15" s="42" t="s">
        <v>80</v>
      </c>
      <c r="D15" s="42"/>
      <c r="E15" s="525"/>
      <c r="F15" s="525"/>
      <c r="G15" s="525"/>
      <c r="H15" s="562"/>
      <c r="I15" s="525"/>
      <c r="J15" s="525"/>
      <c r="K15" s="525"/>
      <c r="L15" s="525"/>
      <c r="O15" s="42" t="s">
        <v>80</v>
      </c>
      <c r="P15" s="42"/>
      <c r="Q15" s="525"/>
      <c r="R15" s="525"/>
      <c r="S15" s="525"/>
      <c r="T15" s="562"/>
      <c r="U15" s="525"/>
      <c r="V15" s="525"/>
      <c r="W15" s="525"/>
      <c r="X15" s="525"/>
      <c r="Z15" s="85">
        <f t="shared" ref="Z15:AD20" si="5">IF(ISERROR((T15-H15)/H15),0,(T15-H15)/H15)</f>
        <v>0</v>
      </c>
      <c r="AA15" s="85">
        <f t="shared" si="5"/>
        <v>0</v>
      </c>
      <c r="AB15" s="85">
        <f t="shared" si="5"/>
        <v>0</v>
      </c>
      <c r="AC15" s="85">
        <f t="shared" si="5"/>
        <v>0</v>
      </c>
      <c r="AD15" s="85">
        <f t="shared" si="5"/>
        <v>0</v>
      </c>
    </row>
    <row r="16" spans="2:30" x14ac:dyDescent="0.3">
      <c r="D16" s="1" t="s">
        <v>11</v>
      </c>
      <c r="E16" s="523"/>
      <c r="F16" s="523"/>
      <c r="G16" s="523"/>
      <c r="H16" s="563"/>
      <c r="I16" s="523"/>
      <c r="J16" s="523"/>
      <c r="K16" s="523"/>
      <c r="L16" s="523"/>
      <c r="P16" s="1" t="str">
        <f>D16</f>
        <v>Major Rebuilds</v>
      </c>
      <c r="Q16" s="523"/>
      <c r="R16" s="523"/>
      <c r="S16" s="523"/>
      <c r="T16" s="563"/>
      <c r="U16" s="523"/>
      <c r="V16" s="523"/>
      <c r="W16" s="523"/>
      <c r="X16" s="523"/>
      <c r="Z16" s="85">
        <f t="shared" si="5"/>
        <v>0</v>
      </c>
      <c r="AA16" s="85">
        <f t="shared" si="5"/>
        <v>0</v>
      </c>
      <c r="AB16" s="85">
        <f t="shared" si="5"/>
        <v>0</v>
      </c>
      <c r="AC16" s="85">
        <f t="shared" si="5"/>
        <v>0</v>
      </c>
      <c r="AD16" s="85">
        <f t="shared" si="5"/>
        <v>0</v>
      </c>
    </row>
    <row r="17" spans="3:30" x14ac:dyDescent="0.3">
      <c r="D17" s="1" t="s">
        <v>1</v>
      </c>
      <c r="E17" s="523"/>
      <c r="F17" s="523"/>
      <c r="G17" s="523"/>
      <c r="H17" s="563"/>
      <c r="I17" s="523"/>
      <c r="J17" s="523"/>
      <c r="K17" s="523"/>
      <c r="L17" s="523"/>
      <c r="P17" s="1" t="str">
        <f>D17</f>
        <v>Stations</v>
      </c>
      <c r="Q17" s="523"/>
      <c r="R17" s="523"/>
      <c r="S17" s="523"/>
      <c r="T17" s="563"/>
      <c r="U17" s="523"/>
      <c r="V17" s="523"/>
      <c r="W17" s="523"/>
      <c r="X17" s="523"/>
      <c r="Z17" s="85">
        <f t="shared" si="5"/>
        <v>0</v>
      </c>
      <c r="AA17" s="85">
        <f t="shared" si="5"/>
        <v>0</v>
      </c>
      <c r="AB17" s="85">
        <f t="shared" si="5"/>
        <v>0</v>
      </c>
      <c r="AC17" s="85">
        <f t="shared" si="5"/>
        <v>0</v>
      </c>
      <c r="AD17" s="85">
        <f t="shared" si="5"/>
        <v>0</v>
      </c>
    </row>
    <row r="18" spans="3:30" x14ac:dyDescent="0.3">
      <c r="D18" s="1" t="s">
        <v>2</v>
      </c>
      <c r="E18" s="523"/>
      <c r="F18" s="523"/>
      <c r="G18" s="523"/>
      <c r="H18" s="563"/>
      <c r="I18" s="523"/>
      <c r="J18" s="523"/>
      <c r="K18" s="523"/>
      <c r="L18" s="523"/>
      <c r="P18" s="1" t="str">
        <f>D18</f>
        <v>Lines</v>
      </c>
      <c r="Q18" s="523"/>
      <c r="R18" s="523"/>
      <c r="S18" s="523"/>
      <c r="T18" s="563"/>
      <c r="U18" s="523"/>
      <c r="V18" s="523"/>
      <c r="W18" s="523"/>
      <c r="X18" s="523"/>
      <c r="Z18" s="85">
        <f t="shared" si="5"/>
        <v>0</v>
      </c>
      <c r="AA18" s="85">
        <f t="shared" si="5"/>
        <v>0</v>
      </c>
      <c r="AB18" s="85">
        <f t="shared" si="5"/>
        <v>0</v>
      </c>
      <c r="AC18" s="85">
        <f t="shared" si="5"/>
        <v>0</v>
      </c>
      <c r="AD18" s="85">
        <f t="shared" si="5"/>
        <v>0</v>
      </c>
    </row>
    <row r="19" spans="3:30" x14ac:dyDescent="0.3">
      <c r="D19" s="1" t="s">
        <v>3</v>
      </c>
      <c r="E19" s="523"/>
      <c r="F19" s="523"/>
      <c r="G19" s="523"/>
      <c r="H19" s="563"/>
      <c r="I19" s="523"/>
      <c r="J19" s="523"/>
      <c r="K19" s="523"/>
      <c r="L19" s="523"/>
      <c r="P19" s="1" t="str">
        <f>D19</f>
        <v>Protection, Control &amp; Automation</v>
      </c>
      <c r="Q19" s="523"/>
      <c r="R19" s="523"/>
      <c r="S19" s="523"/>
      <c r="T19" s="563"/>
      <c r="U19" s="523"/>
      <c r="V19" s="523"/>
      <c r="W19" s="523"/>
      <c r="X19" s="523"/>
      <c r="Z19" s="85">
        <f t="shared" si="5"/>
        <v>0</v>
      </c>
      <c r="AA19" s="85">
        <f t="shared" si="5"/>
        <v>0</v>
      </c>
      <c r="AB19" s="85">
        <f t="shared" si="5"/>
        <v>0</v>
      </c>
      <c r="AC19" s="85">
        <f t="shared" si="5"/>
        <v>0</v>
      </c>
      <c r="AD19" s="85">
        <f t="shared" si="5"/>
        <v>0</v>
      </c>
    </row>
    <row r="20" spans="3:30" x14ac:dyDescent="0.3">
      <c r="D20" s="1" t="s">
        <v>356</v>
      </c>
      <c r="E20" s="537"/>
      <c r="F20" s="564"/>
      <c r="G20" s="564"/>
      <c r="H20" s="563"/>
      <c r="I20" s="564"/>
      <c r="J20" s="564"/>
      <c r="K20" s="564"/>
      <c r="L20" s="564"/>
      <c r="P20" s="1" t="str">
        <f>D20</f>
        <v>Other &lt;spare&gt;</v>
      </c>
      <c r="Q20" s="537"/>
      <c r="R20" s="564"/>
      <c r="S20" s="564"/>
      <c r="T20" s="563"/>
      <c r="U20" s="564"/>
      <c r="V20" s="564"/>
      <c r="W20" s="564"/>
      <c r="X20" s="564"/>
      <c r="Z20" s="85">
        <f t="shared" si="5"/>
        <v>0</v>
      </c>
      <c r="AA20" s="85">
        <f t="shared" si="5"/>
        <v>0</v>
      </c>
      <c r="AB20" s="85">
        <f t="shared" si="5"/>
        <v>0</v>
      </c>
      <c r="AC20" s="85">
        <f t="shared" si="5"/>
        <v>0</v>
      </c>
      <c r="AD20" s="85">
        <f t="shared" si="5"/>
        <v>0</v>
      </c>
    </row>
    <row r="21" spans="3:30" x14ac:dyDescent="0.3">
      <c r="E21" s="537"/>
      <c r="F21" s="523"/>
      <c r="G21" s="523"/>
      <c r="H21" s="563"/>
      <c r="I21" s="523"/>
      <c r="J21" s="523"/>
      <c r="K21" s="523"/>
      <c r="L21" s="523"/>
      <c r="Q21" s="537"/>
      <c r="R21" s="523"/>
      <c r="S21" s="523"/>
      <c r="T21" s="563"/>
      <c r="U21" s="523"/>
      <c r="V21" s="523"/>
      <c r="W21" s="523"/>
      <c r="X21" s="523"/>
    </row>
    <row r="22" spans="3:30" x14ac:dyDescent="0.3">
      <c r="C22" s="42" t="s">
        <v>142</v>
      </c>
      <c r="D22" s="42"/>
      <c r="E22" s="525"/>
      <c r="F22" s="525"/>
      <c r="G22" s="525"/>
      <c r="H22" s="562"/>
      <c r="I22" s="525"/>
      <c r="J22" s="525"/>
      <c r="K22" s="525"/>
      <c r="L22" s="525"/>
      <c r="O22" s="42" t="s">
        <v>142</v>
      </c>
      <c r="P22" s="42"/>
      <c r="Q22" s="525"/>
      <c r="R22" s="525"/>
      <c r="S22" s="525"/>
      <c r="T22" s="562"/>
      <c r="U22" s="525"/>
      <c r="V22" s="525"/>
      <c r="W22" s="525"/>
      <c r="X22" s="525"/>
    </row>
    <row r="23" spans="3:30" x14ac:dyDescent="0.3">
      <c r="D23" s="1" t="s">
        <v>13</v>
      </c>
      <c r="E23" s="523"/>
      <c r="F23" s="523"/>
      <c r="G23" s="523"/>
      <c r="H23" s="563"/>
      <c r="I23" s="523"/>
      <c r="J23" s="523"/>
      <c r="K23" s="523"/>
      <c r="L23" s="523"/>
      <c r="P23" s="1" t="str">
        <f>D23</f>
        <v>Enviro, Safety &amp; Legal Capex</v>
      </c>
      <c r="Q23" s="523"/>
      <c r="R23" s="523"/>
      <c r="S23" s="523"/>
      <c r="T23" s="563"/>
      <c r="U23" s="523"/>
      <c r="V23" s="523"/>
      <c r="W23" s="523"/>
      <c r="X23" s="523"/>
      <c r="Z23" s="85">
        <f t="shared" ref="Z23:AD26" si="6">IF(ISERROR((T23-H23)/H23),0,(T23-H23)/H23)</f>
        <v>0</v>
      </c>
      <c r="AA23" s="85">
        <f t="shared" si="6"/>
        <v>0</v>
      </c>
      <c r="AB23" s="85">
        <f t="shared" si="6"/>
        <v>0</v>
      </c>
      <c r="AC23" s="85">
        <f t="shared" si="6"/>
        <v>0</v>
      </c>
      <c r="AD23" s="85">
        <f t="shared" si="6"/>
        <v>0</v>
      </c>
    </row>
    <row r="24" spans="3:30" x14ac:dyDescent="0.3">
      <c r="D24" s="55" t="s">
        <v>589</v>
      </c>
      <c r="E24" s="523"/>
      <c r="F24" s="523"/>
      <c r="G24" s="523"/>
      <c r="H24" s="563"/>
      <c r="I24" s="523"/>
      <c r="J24" s="523"/>
      <c r="K24" s="523"/>
      <c r="L24" s="523"/>
      <c r="P24" s="55" t="str">
        <f>D24</f>
        <v>REFCL Contingent projects (T1 / T2 / T3)</v>
      </c>
      <c r="Q24" s="523"/>
      <c r="R24" s="523"/>
      <c r="S24" s="523"/>
      <c r="T24" s="563"/>
      <c r="U24" s="523"/>
      <c r="V24" s="523"/>
      <c r="W24" s="523"/>
      <c r="X24" s="523"/>
      <c r="Z24" s="85">
        <f t="shared" si="6"/>
        <v>0</v>
      </c>
      <c r="AA24" s="85">
        <f t="shared" si="6"/>
        <v>0</v>
      </c>
      <c r="AB24" s="85">
        <f t="shared" si="6"/>
        <v>0</v>
      </c>
      <c r="AC24" s="85">
        <f t="shared" si="6"/>
        <v>0</v>
      </c>
      <c r="AD24" s="85">
        <f t="shared" si="6"/>
        <v>0</v>
      </c>
    </row>
    <row r="25" spans="3:30" x14ac:dyDescent="0.3">
      <c r="D25" s="52" t="s">
        <v>129</v>
      </c>
      <c r="E25" s="523"/>
      <c r="F25" s="523"/>
      <c r="G25" s="523"/>
      <c r="H25" s="563"/>
      <c r="I25" s="523"/>
      <c r="J25" s="523"/>
      <c r="K25" s="523"/>
      <c r="L25" s="523"/>
      <c r="P25" s="52" t="str">
        <f>D25</f>
        <v>Govt. Funded Programs</v>
      </c>
      <c r="Q25" s="523"/>
      <c r="R25" s="523"/>
      <c r="S25" s="523"/>
      <c r="T25" s="563"/>
      <c r="U25" s="523"/>
      <c r="V25" s="523"/>
      <c r="W25" s="523"/>
      <c r="X25" s="523"/>
      <c r="Y25" s="52"/>
      <c r="Z25" s="85">
        <f t="shared" si="6"/>
        <v>0</v>
      </c>
      <c r="AA25" s="85">
        <f t="shared" si="6"/>
        <v>0</v>
      </c>
      <c r="AB25" s="85">
        <f t="shared" si="6"/>
        <v>0</v>
      </c>
      <c r="AC25" s="85">
        <f t="shared" si="6"/>
        <v>0</v>
      </c>
      <c r="AD25" s="85">
        <f t="shared" si="6"/>
        <v>0</v>
      </c>
    </row>
    <row r="26" spans="3:30" x14ac:dyDescent="0.3">
      <c r="D26" s="52" t="s">
        <v>141</v>
      </c>
      <c r="E26" s="523"/>
      <c r="F26" s="523"/>
      <c r="G26" s="523"/>
      <c r="H26" s="563"/>
      <c r="I26" s="523"/>
      <c r="J26" s="523"/>
      <c r="K26" s="523"/>
      <c r="L26" s="523"/>
      <c r="P26" s="52" t="str">
        <f>D26</f>
        <v>Govt. Contribution</v>
      </c>
      <c r="Q26" s="523"/>
      <c r="R26" s="523"/>
      <c r="S26" s="523"/>
      <c r="T26" s="563"/>
      <c r="U26" s="523"/>
      <c r="V26" s="523"/>
      <c r="W26" s="523"/>
      <c r="X26" s="523"/>
      <c r="Y26" s="52"/>
      <c r="Z26" s="85">
        <f t="shared" si="6"/>
        <v>0</v>
      </c>
      <c r="AA26" s="85">
        <f t="shared" si="6"/>
        <v>0</v>
      </c>
      <c r="AB26" s="85">
        <f t="shared" si="6"/>
        <v>0</v>
      </c>
      <c r="AC26" s="85">
        <f t="shared" si="6"/>
        <v>0</v>
      </c>
      <c r="AD26" s="85">
        <f t="shared" si="6"/>
        <v>0</v>
      </c>
    </row>
    <row r="27" spans="3:30" x14ac:dyDescent="0.3">
      <c r="E27" s="537"/>
      <c r="F27" s="523"/>
      <c r="G27" s="523"/>
      <c r="H27" s="563"/>
      <c r="I27" s="523"/>
      <c r="J27" s="523"/>
      <c r="K27" s="523"/>
      <c r="L27" s="523"/>
      <c r="Q27" s="537"/>
      <c r="R27" s="523"/>
      <c r="S27" s="523"/>
      <c r="T27" s="563"/>
      <c r="U27" s="523"/>
      <c r="V27" s="523"/>
      <c r="W27" s="523"/>
      <c r="X27" s="523"/>
    </row>
    <row r="28" spans="3:30" x14ac:dyDescent="0.3">
      <c r="C28" s="42" t="s">
        <v>523</v>
      </c>
      <c r="D28" s="42"/>
      <c r="E28" s="525"/>
      <c r="F28" s="525"/>
      <c r="G28" s="525"/>
      <c r="H28" s="562"/>
      <c r="I28" s="525"/>
      <c r="J28" s="525"/>
      <c r="K28" s="525"/>
      <c r="L28" s="525"/>
      <c r="O28" s="42" t="s">
        <v>523</v>
      </c>
      <c r="P28" s="42"/>
      <c r="Q28" s="525"/>
      <c r="R28" s="525"/>
      <c r="S28" s="525"/>
      <c r="T28" s="562"/>
      <c r="U28" s="525"/>
      <c r="V28" s="525"/>
      <c r="W28" s="525"/>
      <c r="X28" s="525"/>
      <c r="Z28" s="85">
        <f t="shared" ref="Z28:AD30" si="7">IF(ISERROR((T28-H28)/H28),0,(T28-H28)/H28)</f>
        <v>0</v>
      </c>
      <c r="AA28" s="85">
        <f t="shared" si="7"/>
        <v>0</v>
      </c>
      <c r="AB28" s="85">
        <f t="shared" si="7"/>
        <v>0</v>
      </c>
      <c r="AC28" s="85">
        <f t="shared" si="7"/>
        <v>0</v>
      </c>
      <c r="AD28" s="85">
        <f t="shared" si="7"/>
        <v>0</v>
      </c>
    </row>
    <row r="29" spans="3:30" x14ac:dyDescent="0.3">
      <c r="D29" s="1" t="s">
        <v>12</v>
      </c>
      <c r="E29" s="537"/>
      <c r="F29" s="523"/>
      <c r="G29" s="523"/>
      <c r="H29" s="563"/>
      <c r="I29" s="523"/>
      <c r="J29" s="523"/>
      <c r="K29" s="523"/>
      <c r="L29" s="523"/>
      <c r="P29" s="1" t="str">
        <f>D29</f>
        <v>SCADA &amp; Comms</v>
      </c>
      <c r="Q29" s="537"/>
      <c r="R29" s="523"/>
      <c r="S29" s="523"/>
      <c r="T29" s="563"/>
      <c r="U29" s="523"/>
      <c r="V29" s="523"/>
      <c r="W29" s="523"/>
      <c r="X29" s="523"/>
      <c r="Z29" s="85">
        <f t="shared" si="7"/>
        <v>0</v>
      </c>
      <c r="AA29" s="85">
        <f t="shared" si="7"/>
        <v>0</v>
      </c>
      <c r="AB29" s="85">
        <f t="shared" si="7"/>
        <v>0</v>
      </c>
      <c r="AC29" s="85">
        <f t="shared" si="7"/>
        <v>0</v>
      </c>
      <c r="AD29" s="85">
        <f t="shared" si="7"/>
        <v>0</v>
      </c>
    </row>
    <row r="30" spans="3:30" x14ac:dyDescent="0.3">
      <c r="D30" s="1" t="s">
        <v>521</v>
      </c>
      <c r="E30" s="537"/>
      <c r="F30" s="523"/>
      <c r="G30" s="523"/>
      <c r="H30" s="563"/>
      <c r="I30" s="523"/>
      <c r="J30" s="523"/>
      <c r="K30" s="523"/>
      <c r="L30" s="523"/>
      <c r="P30" s="1" t="str">
        <f>D30</f>
        <v>SCADA &amp; Comms - Metering</v>
      </c>
      <c r="Q30" s="644"/>
      <c r="R30" s="523"/>
      <c r="S30" s="523"/>
      <c r="T30" s="563"/>
      <c r="U30" s="523"/>
      <c r="V30" s="523"/>
      <c r="W30" s="523"/>
      <c r="X30" s="523"/>
      <c r="Z30" s="85">
        <f t="shared" si="7"/>
        <v>0</v>
      </c>
      <c r="AA30" s="85">
        <f t="shared" si="7"/>
        <v>0</v>
      </c>
      <c r="AB30" s="85">
        <f t="shared" si="7"/>
        <v>0</v>
      </c>
      <c r="AC30" s="85">
        <f t="shared" si="7"/>
        <v>0</v>
      </c>
      <c r="AD30" s="85">
        <f t="shared" si="7"/>
        <v>0</v>
      </c>
    </row>
    <row r="31" spans="3:30" x14ac:dyDescent="0.3">
      <c r="E31" s="537"/>
      <c r="F31" s="523"/>
      <c r="G31" s="523"/>
      <c r="H31" s="563"/>
      <c r="I31" s="523"/>
      <c r="J31" s="523"/>
      <c r="K31" s="523"/>
      <c r="L31" s="523"/>
      <c r="Q31" s="537"/>
      <c r="R31" s="523"/>
      <c r="S31" s="523"/>
      <c r="T31" s="563"/>
      <c r="U31" s="523"/>
      <c r="V31" s="523"/>
      <c r="W31" s="523"/>
      <c r="X31" s="523"/>
    </row>
    <row r="32" spans="3:30" x14ac:dyDescent="0.3">
      <c r="C32" s="2" t="s">
        <v>109</v>
      </c>
      <c r="D32" s="2"/>
      <c r="E32" s="565"/>
      <c r="F32" s="565"/>
      <c r="G32" s="565"/>
      <c r="H32" s="566"/>
      <c r="I32" s="565"/>
      <c r="J32" s="565"/>
      <c r="K32" s="565"/>
      <c r="L32" s="565"/>
      <c r="O32" s="2" t="s">
        <v>109</v>
      </c>
      <c r="P32" s="2"/>
      <c r="Q32" s="565"/>
      <c r="R32" s="565"/>
      <c r="S32" s="565"/>
      <c r="T32" s="566"/>
      <c r="U32" s="565"/>
      <c r="V32" s="565"/>
      <c r="W32" s="565"/>
      <c r="X32" s="565"/>
    </row>
    <row r="33" spans="3:30" x14ac:dyDescent="0.3">
      <c r="C33" s="2" t="s">
        <v>110</v>
      </c>
      <c r="D33" s="2"/>
      <c r="E33" s="565"/>
      <c r="F33" s="565"/>
      <c r="G33" s="565"/>
      <c r="H33" s="566"/>
      <c r="I33" s="565"/>
      <c r="J33" s="565"/>
      <c r="K33" s="565"/>
      <c r="L33" s="565"/>
      <c r="O33" s="2" t="s">
        <v>110</v>
      </c>
      <c r="P33" s="2"/>
      <c r="Q33" s="565"/>
      <c r="R33" s="565"/>
      <c r="S33" s="565"/>
      <c r="T33" s="566"/>
      <c r="U33" s="565"/>
      <c r="V33" s="565"/>
      <c r="W33" s="565"/>
      <c r="X33" s="565"/>
    </row>
    <row r="34" spans="3:30" x14ac:dyDescent="0.3">
      <c r="E34" s="537"/>
      <c r="F34" s="523"/>
      <c r="G34" s="523"/>
      <c r="H34" s="563"/>
      <c r="I34" s="523"/>
      <c r="J34" s="523"/>
      <c r="K34" s="523"/>
      <c r="L34" s="523"/>
      <c r="Q34" s="537"/>
      <c r="R34" s="523"/>
      <c r="S34" s="523"/>
      <c r="T34" s="563"/>
      <c r="U34" s="523"/>
      <c r="V34" s="523"/>
      <c r="W34" s="523"/>
      <c r="X34" s="523"/>
    </row>
    <row r="35" spans="3:30" x14ac:dyDescent="0.3">
      <c r="C35" s="42" t="s">
        <v>81</v>
      </c>
      <c r="D35" s="42"/>
      <c r="E35" s="525"/>
      <c r="F35" s="525"/>
      <c r="G35" s="525"/>
      <c r="H35" s="562"/>
      <c r="I35" s="525"/>
      <c r="J35" s="525"/>
      <c r="K35" s="525"/>
      <c r="L35" s="525"/>
      <c r="O35" s="42" t="s">
        <v>81</v>
      </c>
      <c r="P35" s="42"/>
      <c r="Q35" s="525"/>
      <c r="R35" s="525"/>
      <c r="S35" s="525"/>
      <c r="T35" s="562"/>
      <c r="U35" s="525"/>
      <c r="V35" s="525"/>
      <c r="W35" s="525"/>
      <c r="X35" s="525"/>
    </row>
    <row r="36" spans="3:30" x14ac:dyDescent="0.3">
      <c r="D36" s="1" t="s">
        <v>4</v>
      </c>
      <c r="E36" s="523"/>
      <c r="F36" s="523"/>
      <c r="G36" s="523"/>
      <c r="H36" s="563"/>
      <c r="I36" s="523"/>
      <c r="J36" s="523"/>
      <c r="K36" s="523"/>
      <c r="L36" s="523"/>
      <c r="P36" s="1" t="str">
        <f>D36</f>
        <v>ICT Infrastructure Capex</v>
      </c>
      <c r="Q36" s="523"/>
      <c r="R36" s="523"/>
      <c r="S36" s="523"/>
      <c r="T36" s="563"/>
      <c r="U36" s="523"/>
      <c r="V36" s="523"/>
      <c r="W36" s="523"/>
      <c r="X36" s="523"/>
      <c r="Y36" s="52"/>
      <c r="Z36" s="85">
        <f>IF(ISERROR((T36-H36)/H36),0,(T36-H36)/H36)</f>
        <v>0</v>
      </c>
      <c r="AA36" s="85">
        <f>IF(ISERROR((U36-I36)/I36),0,(U36-I36)/I36)</f>
        <v>0</v>
      </c>
      <c r="AB36" s="85">
        <f>IF(ISERROR((V36-J36)/J36),0,(V36-J36)/J36)</f>
        <v>0</v>
      </c>
      <c r="AC36" s="85">
        <f>IF(ISERROR((W36-K36)/K36),0,(W36-K36)/K36)</f>
        <v>0</v>
      </c>
      <c r="AD36" s="85">
        <f>IF(ISERROR((X36-L36)/L36),0,(X36-L36)/L36)</f>
        <v>0</v>
      </c>
    </row>
    <row r="37" spans="3:30" x14ac:dyDescent="0.3">
      <c r="D37" s="1" t="s">
        <v>522</v>
      </c>
      <c r="E37" s="523"/>
      <c r="F37" s="523"/>
      <c r="G37" s="523"/>
      <c r="H37" s="563"/>
      <c r="I37" s="523"/>
      <c r="J37" s="523"/>
      <c r="K37" s="523"/>
      <c r="L37" s="523"/>
      <c r="P37" s="1" t="str">
        <f>D37</f>
        <v>Metering related IT systems</v>
      </c>
      <c r="Q37" s="523"/>
      <c r="R37" s="523"/>
      <c r="S37" s="523"/>
      <c r="T37" s="563"/>
      <c r="U37" s="523"/>
      <c r="V37" s="523"/>
      <c r="W37" s="523"/>
      <c r="X37" s="523"/>
      <c r="Y37" s="52"/>
      <c r="Z37" s="85">
        <f t="shared" ref="Z37" si="8">IF(ISERROR((T37-H37)/H37),0,(T37-H37)/H37)</f>
        <v>0</v>
      </c>
      <c r="AA37" s="85">
        <f t="shared" ref="AA37" si="9">IF(ISERROR((U37-I37)/I37),0,(U37-I37)/I37)</f>
        <v>0</v>
      </c>
      <c r="AB37" s="85">
        <f t="shared" ref="AB37" si="10">IF(ISERROR((V37-J37)/J37),0,(V37-J37)/J37)</f>
        <v>0</v>
      </c>
      <c r="AC37" s="85">
        <f t="shared" ref="AC37" si="11">IF(ISERROR((W37-K37)/K37),0,(W37-K37)/K37)</f>
        <v>0</v>
      </c>
      <c r="AD37" s="85">
        <f t="shared" ref="AD37" si="12">IF(ISERROR((X37-L37)/L37),0,(X37-L37)/L37)</f>
        <v>0</v>
      </c>
    </row>
    <row r="38" spans="3:30" x14ac:dyDescent="0.3">
      <c r="D38" s="1" t="s">
        <v>14</v>
      </c>
      <c r="E38" s="523"/>
      <c r="F38" s="564"/>
      <c r="G38" s="564"/>
      <c r="H38" s="563"/>
      <c r="I38" s="564"/>
      <c r="J38" s="564"/>
      <c r="K38" s="564"/>
      <c r="L38" s="564"/>
      <c r="P38" s="1" t="str">
        <f>D38</f>
        <v>Other Non Network</v>
      </c>
      <c r="Q38" s="564"/>
      <c r="R38" s="564"/>
      <c r="S38" s="564"/>
      <c r="T38" s="563"/>
      <c r="U38" s="564"/>
      <c r="V38" s="564"/>
      <c r="W38" s="564"/>
      <c r="X38" s="564"/>
      <c r="Y38" s="52"/>
      <c r="Z38" s="85">
        <f>IF(ISERROR((T38-H38)/H38),0,(T38-H38)/H38)</f>
        <v>0</v>
      </c>
      <c r="AA38" s="85">
        <f>IF(ISERROR((U38-I38)/I38),0,(U38-I38)/I38)</f>
        <v>0</v>
      </c>
      <c r="AB38" s="85">
        <f>IF(ISERROR((V38-J38)/J38),0,(V38-J38)/J38)</f>
        <v>0</v>
      </c>
      <c r="AC38" s="85">
        <f>IF(ISERROR((W38-K38)/K38),0,(W38-K38)/K38)</f>
        <v>0</v>
      </c>
      <c r="AD38" s="85">
        <f>IF(ISERROR((X38-L38)/L38),0,(X38-L38)/L38)</f>
        <v>0</v>
      </c>
    </row>
    <row r="39" spans="3:30" x14ac:dyDescent="0.3">
      <c r="D39" s="1" t="s">
        <v>592</v>
      </c>
      <c r="E39" s="523"/>
      <c r="F39" s="564"/>
      <c r="G39" s="564"/>
      <c r="H39" s="563"/>
      <c r="I39" s="564"/>
      <c r="J39" s="564"/>
      <c r="K39" s="564"/>
      <c r="L39" s="564"/>
      <c r="P39" s="1" t="str">
        <f>D39</f>
        <v>Capitalised Leases</v>
      </c>
      <c r="Q39" s="564"/>
      <c r="R39" s="564"/>
      <c r="S39" s="564"/>
      <c r="T39" s="563"/>
      <c r="U39" s="564"/>
      <c r="V39" s="564"/>
      <c r="W39" s="564"/>
      <c r="X39" s="564"/>
      <c r="Y39" s="52"/>
      <c r="Z39" s="85"/>
      <c r="AA39" s="85"/>
      <c r="AB39" s="85"/>
      <c r="AC39" s="85"/>
      <c r="AD39" s="85"/>
    </row>
    <row r="40" spans="3:30" x14ac:dyDescent="0.3">
      <c r="D40" s="1" t="s">
        <v>456</v>
      </c>
      <c r="E40" s="537"/>
      <c r="F40" s="564"/>
      <c r="G40" s="564"/>
      <c r="H40" s="563"/>
      <c r="I40" s="564"/>
      <c r="J40" s="564"/>
      <c r="K40" s="564"/>
      <c r="L40" s="564"/>
      <c r="P40" s="1" t="str">
        <f>D40</f>
        <v>Innovation</v>
      </c>
      <c r="Q40" s="564"/>
      <c r="R40" s="564"/>
      <c r="S40" s="564"/>
      <c r="T40" s="563"/>
      <c r="U40" s="564"/>
      <c r="V40" s="564"/>
      <c r="W40" s="564"/>
      <c r="X40" s="564"/>
      <c r="Y40" s="52"/>
      <c r="Z40" s="85">
        <f t="shared" ref="Z40" si="13">IF(ISERROR((T40-H40)/H40),0,(T40-H40)/H40)</f>
        <v>0</v>
      </c>
      <c r="AA40" s="85">
        <f t="shared" ref="AA40" si="14">IF(ISERROR((U40-I40)/I40),0,(U40-I40)/I40)</f>
        <v>0</v>
      </c>
      <c r="AB40" s="85">
        <f t="shared" ref="AB40" si="15">IF(ISERROR((V40-J40)/J40),0,(V40-J40)/J40)</f>
        <v>0</v>
      </c>
      <c r="AC40" s="85">
        <f t="shared" ref="AC40" si="16">IF(ISERROR((W40-K40)/K40),0,(W40-K40)/K40)</f>
        <v>0</v>
      </c>
      <c r="AD40" s="85">
        <f t="shared" ref="AD40" si="17">IF(ISERROR((X40-L40)/L40),0,(X40-L40)/L40)</f>
        <v>0</v>
      </c>
    </row>
    <row r="41" spans="3:30" x14ac:dyDescent="0.3">
      <c r="E41" s="537"/>
      <c r="F41" s="523"/>
      <c r="G41" s="523"/>
      <c r="H41" s="563"/>
      <c r="I41" s="523"/>
      <c r="J41" s="523"/>
      <c r="K41" s="523"/>
      <c r="L41" s="523"/>
      <c r="Q41" s="537"/>
      <c r="R41" s="523"/>
      <c r="S41" s="523"/>
      <c r="T41" s="563"/>
      <c r="U41" s="523"/>
      <c r="V41" s="523"/>
      <c r="W41" s="523"/>
      <c r="X41" s="523"/>
    </row>
    <row r="42" spans="3:30" x14ac:dyDescent="0.3">
      <c r="C42" s="2" t="s">
        <v>404</v>
      </c>
      <c r="D42" s="2"/>
      <c r="E42" s="565"/>
      <c r="F42" s="565"/>
      <c r="G42" s="565"/>
      <c r="H42" s="566"/>
      <c r="I42" s="565"/>
      <c r="J42" s="565"/>
      <c r="K42" s="565"/>
      <c r="L42" s="565"/>
      <c r="O42" s="2" t="s">
        <v>404</v>
      </c>
      <c r="P42" s="2"/>
      <c r="Q42" s="565"/>
      <c r="R42" s="565"/>
      <c r="S42" s="565"/>
      <c r="T42" s="566"/>
      <c r="U42" s="565"/>
      <c r="V42" s="565"/>
      <c r="W42" s="565"/>
      <c r="X42" s="565"/>
    </row>
    <row r="43" spans="3:30" x14ac:dyDescent="0.3">
      <c r="C43" s="2" t="s">
        <v>111</v>
      </c>
      <c r="D43" s="2"/>
      <c r="E43" s="565"/>
      <c r="F43" s="565"/>
      <c r="G43" s="565"/>
      <c r="H43" s="566"/>
      <c r="I43" s="565"/>
      <c r="J43" s="565"/>
      <c r="K43" s="565"/>
      <c r="L43" s="565"/>
      <c r="O43" s="2" t="s">
        <v>111</v>
      </c>
      <c r="P43" s="2"/>
      <c r="Q43" s="565"/>
      <c r="R43" s="565"/>
      <c r="S43" s="565"/>
      <c r="T43" s="566"/>
      <c r="U43" s="565"/>
      <c r="V43" s="565"/>
      <c r="W43" s="565"/>
      <c r="X43" s="565"/>
    </row>
    <row r="45" spans="3:30" x14ac:dyDescent="0.3">
      <c r="G45" s="39"/>
      <c r="H45" s="39"/>
      <c r="I45" s="39"/>
      <c r="J45" s="39"/>
      <c r="K45" s="39"/>
      <c r="L45" s="39"/>
    </row>
    <row r="46" spans="3:30" x14ac:dyDescent="0.3">
      <c r="E46" s="39"/>
      <c r="F46" s="39"/>
      <c r="G46" s="39"/>
      <c r="H46" s="39"/>
      <c r="I46" s="39"/>
      <c r="J46" s="39"/>
      <c r="K46" s="39"/>
      <c r="L46" s="39"/>
    </row>
    <row r="47" spans="3:30" x14ac:dyDescent="0.3">
      <c r="E47" s="39"/>
      <c r="F47" s="39"/>
      <c r="G47" s="39"/>
      <c r="H47" s="39"/>
      <c r="I47" s="39"/>
      <c r="J47" s="39"/>
      <c r="K47" s="39"/>
      <c r="L47" s="39"/>
    </row>
    <row r="48" spans="3:30" x14ac:dyDescent="0.3">
      <c r="H48" s="39"/>
      <c r="I48" s="39"/>
      <c r="J48" s="39"/>
      <c r="K48" s="39"/>
      <c r="L48" s="39"/>
    </row>
    <row r="49" spans="8:12" x14ac:dyDescent="0.3">
      <c r="H49" s="39"/>
      <c r="I49" s="39"/>
      <c r="J49" s="39"/>
      <c r="K49" s="39"/>
      <c r="L49" s="39"/>
    </row>
    <row r="50" spans="8:12" ht="6.75" customHeight="1" x14ac:dyDescent="0.3">
      <c r="H50" s="39"/>
      <c r="I50" s="39"/>
      <c r="J50" s="39"/>
      <c r="K50" s="39"/>
      <c r="L50" s="39"/>
    </row>
    <row r="51" spans="8:12" x14ac:dyDescent="0.3">
      <c r="H51" s="39"/>
      <c r="I51" s="39"/>
      <c r="J51" s="39"/>
      <c r="K51" s="39"/>
      <c r="L51" s="39"/>
    </row>
    <row r="52" spans="8:12" x14ac:dyDescent="0.3">
      <c r="H52" s="39"/>
      <c r="I52" s="39"/>
      <c r="J52" s="39"/>
      <c r="K52" s="39"/>
      <c r="L52" s="39"/>
    </row>
    <row r="61" spans="8:12" ht="13.95" customHeight="1" x14ac:dyDescent="0.3"/>
  </sheetData>
  <mergeCells count="1">
    <mergeCell ref="H1:I1"/>
  </mergeCells>
  <hyperlinks>
    <hyperlink ref="B2" location="Contents!A1" display="Table of Contents" xr:uid="{00000000-0004-0000-1700-000000000000}"/>
  </hyperlinks>
  <pageMargins left="0.25" right="0.25" top="0.75" bottom="0.75" header="0.3" footer="0.3"/>
  <pageSetup paperSize="9" orientation="portrait" r:id="rId1"/>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BT45"/>
  <sheetViews>
    <sheetView zoomScale="70" zoomScaleNormal="70" workbookViewId="0">
      <pane xSplit="3" topLeftCell="AO1" activePane="topRight" state="frozen"/>
      <selection activeCell="K24" sqref="K24"/>
      <selection pane="topRight" activeCell="BC42" sqref="BC42"/>
    </sheetView>
  </sheetViews>
  <sheetFormatPr defaultColWidth="9.109375" defaultRowHeight="14.4" outlineLevelCol="1" x14ac:dyDescent="0.3"/>
  <cols>
    <col min="1" max="2" width="3.5546875" style="1" customWidth="1"/>
    <col min="3" max="3" width="40.88671875" style="1" customWidth="1"/>
    <col min="4" max="4" width="10" style="1" customWidth="1" outlineLevel="1"/>
    <col min="5" max="6" width="9.33203125" style="1" customWidth="1" outlineLevel="1"/>
    <col min="7" max="11" width="9.5546875" style="1" customWidth="1" outlineLevel="1"/>
    <col min="12" max="12" width="10.88671875" style="1" customWidth="1" outlineLevel="1"/>
    <col min="13" max="13" width="5" style="1" customWidth="1"/>
    <col min="14" max="14" width="9.6640625" style="1" customWidth="1" outlineLevel="1"/>
    <col min="15" max="16" width="9" style="1" customWidth="1" outlineLevel="1"/>
    <col min="17" max="21" width="9.33203125" style="1" bestFit="1" customWidth="1"/>
    <col min="22" max="22" width="10.88671875" style="1" customWidth="1"/>
    <col min="23" max="23" width="5.33203125" style="1" customWidth="1"/>
    <col min="24" max="26" width="9.6640625" style="1" customWidth="1" outlineLevel="1"/>
    <col min="27" max="27" width="8.88671875" style="1" customWidth="1"/>
    <col min="28" max="28" width="9.33203125" style="1" customWidth="1"/>
    <col min="29" max="29" width="9" style="1" customWidth="1"/>
    <col min="30" max="32" width="9.5546875" style="1" bestFit="1" customWidth="1"/>
    <col min="33" max="33" width="5.109375" style="1" customWidth="1"/>
    <col min="34" max="36" width="8.6640625" style="1" customWidth="1" outlineLevel="1"/>
    <col min="37" max="41" width="8.6640625" style="1" customWidth="1"/>
    <col min="42" max="42" width="9.6640625" style="1" customWidth="1"/>
    <col min="43" max="43" width="5.109375" style="1" customWidth="1"/>
    <col min="44" max="46" width="9.33203125" style="1" customWidth="1" outlineLevel="1"/>
    <col min="47" max="51" width="9.5546875" style="1" bestFit="1" customWidth="1"/>
    <col min="52" max="52" width="11.33203125" style="1" customWidth="1"/>
    <col min="53" max="53" width="6.109375" style="1" customWidth="1"/>
    <col min="54" max="54" width="9.6640625" style="1" customWidth="1" outlineLevel="1"/>
    <col min="55" max="56" width="9.5546875" style="1" customWidth="1" outlineLevel="1"/>
    <col min="57" max="59" width="9.5546875" style="1" bestFit="1" customWidth="1"/>
    <col min="60" max="60" width="10.6640625" style="1" customWidth="1"/>
    <col min="61" max="61" width="9.5546875" style="1" bestFit="1" customWidth="1"/>
    <col min="62" max="62" width="9.109375" style="1"/>
    <col min="63" max="63" width="5" style="1" customWidth="1"/>
    <col min="64" max="66" width="9.109375" style="1" customWidth="1" outlineLevel="1"/>
    <col min="67" max="71" width="9.109375" style="1"/>
    <col min="72" max="72" width="11" style="1" customWidth="1"/>
    <col min="73" max="16384" width="9.109375" style="1"/>
  </cols>
  <sheetData>
    <row r="1" spans="2:72" ht="18" x14ac:dyDescent="0.35">
      <c r="B1" s="10" t="s">
        <v>513</v>
      </c>
      <c r="G1" s="596" t="s">
        <v>749</v>
      </c>
      <c r="H1" s="596"/>
    </row>
    <row r="2" spans="2:72" x14ac:dyDescent="0.3">
      <c r="B2" s="25" t="s">
        <v>6</v>
      </c>
    </row>
    <row r="3" spans="2:72" x14ac:dyDescent="0.3">
      <c r="D3" s="2" t="s">
        <v>505</v>
      </c>
      <c r="L3" s="268" t="s">
        <v>137</v>
      </c>
      <c r="M3" s="2" t="s">
        <v>504</v>
      </c>
      <c r="V3" s="268" t="s">
        <v>137</v>
      </c>
      <c r="W3" s="2" t="s">
        <v>500</v>
      </c>
      <c r="AF3" s="268" t="s">
        <v>137</v>
      </c>
      <c r="AG3" s="2" t="s">
        <v>613</v>
      </c>
      <c r="AP3" s="363" t="s">
        <v>137</v>
      </c>
      <c r="AQ3" s="2" t="s">
        <v>501</v>
      </c>
      <c r="AZ3" s="268" t="s">
        <v>137</v>
      </c>
      <c r="BA3" s="2" t="s">
        <v>490</v>
      </c>
      <c r="BJ3" s="268" t="s">
        <v>137</v>
      </c>
      <c r="BK3" s="2" t="s">
        <v>491</v>
      </c>
      <c r="BT3" s="268" t="s">
        <v>137</v>
      </c>
    </row>
    <row r="4" spans="2:72" x14ac:dyDescent="0.3">
      <c r="D4" s="226">
        <f>CP_Yr_4</f>
        <v>43800</v>
      </c>
      <c r="E4" s="226">
        <f>CP_Yr_5</f>
        <v>44166</v>
      </c>
      <c r="F4" s="226">
        <f>Stub</f>
        <v>44377</v>
      </c>
      <c r="G4" s="339">
        <f>Yr_1</f>
        <v>44742</v>
      </c>
      <c r="H4" s="226">
        <f>Yr_2</f>
        <v>45107</v>
      </c>
      <c r="I4" s="226">
        <f>Yr_3</f>
        <v>45473</v>
      </c>
      <c r="J4" s="226">
        <f>Yr_4</f>
        <v>45838</v>
      </c>
      <c r="K4" s="226">
        <f>Yr_5</f>
        <v>46203</v>
      </c>
      <c r="L4" s="268" t="str">
        <f>NReg_Period</f>
        <v>2022-26</v>
      </c>
      <c r="N4" s="226">
        <f>CP_Yr_4</f>
        <v>43800</v>
      </c>
      <c r="O4" s="226">
        <f>CP_Yr_5</f>
        <v>44166</v>
      </c>
      <c r="P4" s="226">
        <f>Stub</f>
        <v>44377</v>
      </c>
      <c r="Q4" s="339">
        <f>Yr_1</f>
        <v>44742</v>
      </c>
      <c r="R4" s="226">
        <f>Yr_2</f>
        <v>45107</v>
      </c>
      <c r="S4" s="226">
        <f>Yr_3</f>
        <v>45473</v>
      </c>
      <c r="T4" s="226">
        <f>Yr_4</f>
        <v>45838</v>
      </c>
      <c r="U4" s="226">
        <f>Yr_5</f>
        <v>46203</v>
      </c>
      <c r="V4" s="268" t="str">
        <f>NReg_Period</f>
        <v>2022-26</v>
      </c>
      <c r="W4" s="268"/>
      <c r="X4" s="226">
        <f>CP_Yr_4</f>
        <v>43800</v>
      </c>
      <c r="Y4" s="226">
        <f>CP_Yr_5</f>
        <v>44166</v>
      </c>
      <c r="Z4" s="226">
        <f>Stub</f>
        <v>44377</v>
      </c>
      <c r="AA4" s="339">
        <f>Yr_1</f>
        <v>44742</v>
      </c>
      <c r="AB4" s="340">
        <f>Yr_2</f>
        <v>45107</v>
      </c>
      <c r="AC4" s="226">
        <f>Yr_3</f>
        <v>45473</v>
      </c>
      <c r="AD4" s="226">
        <f>Yr_4</f>
        <v>45838</v>
      </c>
      <c r="AE4" s="226">
        <f>Yr_5</f>
        <v>46203</v>
      </c>
      <c r="AF4" s="268" t="str">
        <f>NReg_Period</f>
        <v>2022-26</v>
      </c>
      <c r="AH4" s="226">
        <f>CP_Yr_4</f>
        <v>43800</v>
      </c>
      <c r="AI4" s="226">
        <f>CP_Yr_5</f>
        <v>44166</v>
      </c>
      <c r="AJ4" s="226">
        <f>Stub</f>
        <v>44377</v>
      </c>
      <c r="AK4" s="339">
        <f>Yr_1</f>
        <v>44742</v>
      </c>
      <c r="AL4" s="226">
        <f>Yr_2</f>
        <v>45107</v>
      </c>
      <c r="AM4" s="226">
        <f>Yr_3</f>
        <v>45473</v>
      </c>
      <c r="AN4" s="226">
        <f>Yr_4</f>
        <v>45838</v>
      </c>
      <c r="AO4" s="226">
        <f>Yr_5</f>
        <v>46203</v>
      </c>
      <c r="AP4" s="363" t="str">
        <f>NReg_Period</f>
        <v>2022-26</v>
      </c>
      <c r="AR4" s="226">
        <f>CP_Yr_4</f>
        <v>43800</v>
      </c>
      <c r="AS4" s="226">
        <f>CP_Yr_5</f>
        <v>44166</v>
      </c>
      <c r="AT4" s="226">
        <f>Stub</f>
        <v>44377</v>
      </c>
      <c r="AU4" s="339">
        <f>Yr_1</f>
        <v>44742</v>
      </c>
      <c r="AV4" s="226">
        <f>Yr_2</f>
        <v>45107</v>
      </c>
      <c r="AW4" s="226">
        <f>Yr_3</f>
        <v>45473</v>
      </c>
      <c r="AX4" s="226">
        <f>Yr_4</f>
        <v>45838</v>
      </c>
      <c r="AY4" s="226">
        <f>Yr_5</f>
        <v>46203</v>
      </c>
      <c r="AZ4" s="268" t="str">
        <f>NReg_Period</f>
        <v>2022-26</v>
      </c>
      <c r="BB4" s="226">
        <f>CP_Yr_4</f>
        <v>43800</v>
      </c>
      <c r="BC4" s="226">
        <f>CP_Yr_5</f>
        <v>44166</v>
      </c>
      <c r="BD4" s="226">
        <f>Stub</f>
        <v>44377</v>
      </c>
      <c r="BE4" s="339">
        <f>Yr_1</f>
        <v>44742</v>
      </c>
      <c r="BF4" s="226">
        <f>Yr_2</f>
        <v>45107</v>
      </c>
      <c r="BG4" s="226">
        <f>Yr_3</f>
        <v>45473</v>
      </c>
      <c r="BH4" s="226">
        <f>Yr_4</f>
        <v>45838</v>
      </c>
      <c r="BI4" s="226">
        <f>Yr_5</f>
        <v>46203</v>
      </c>
      <c r="BJ4" s="268" t="str">
        <f>NReg_Period</f>
        <v>2022-26</v>
      </c>
      <c r="BL4" s="226">
        <f>CP_Yr_4</f>
        <v>43800</v>
      </c>
      <c r="BM4" s="226">
        <f>CP_Yr_5</f>
        <v>44166</v>
      </c>
      <c r="BN4" s="226">
        <f>Stub</f>
        <v>44377</v>
      </c>
      <c r="BO4" s="339">
        <f>Yr_1</f>
        <v>44742</v>
      </c>
      <c r="BP4" s="226">
        <f>Yr_2</f>
        <v>45107</v>
      </c>
      <c r="BQ4" s="226">
        <f>Yr_3</f>
        <v>45473</v>
      </c>
      <c r="BR4" s="226">
        <f>Yr_4</f>
        <v>45838</v>
      </c>
      <c r="BS4" s="226">
        <f>Yr_5</f>
        <v>46203</v>
      </c>
      <c r="BT4" s="268" t="str">
        <f>NReg_Period</f>
        <v>2022-26</v>
      </c>
    </row>
    <row r="5" spans="2:72" x14ac:dyDescent="0.3">
      <c r="B5" s="1" t="s">
        <v>44</v>
      </c>
      <c r="G5" s="38"/>
      <c r="Q5" s="38"/>
      <c r="AA5" s="38"/>
      <c r="AB5" s="41"/>
      <c r="AU5" s="38"/>
      <c r="BE5" s="38"/>
      <c r="BO5" s="38"/>
    </row>
    <row r="6" spans="2:72" x14ac:dyDescent="0.3">
      <c r="C6" s="1" t="s">
        <v>10</v>
      </c>
      <c r="D6" s="539"/>
      <c r="E6" s="539"/>
      <c r="F6" s="539"/>
      <c r="G6" s="538"/>
      <c r="H6" s="539"/>
      <c r="I6" s="539"/>
      <c r="J6" s="539"/>
      <c r="K6" s="539"/>
      <c r="L6" s="540"/>
      <c r="N6" s="539"/>
      <c r="O6" s="539"/>
      <c r="P6" s="539"/>
      <c r="Q6" s="538"/>
      <c r="R6" s="539"/>
      <c r="S6" s="539"/>
      <c r="T6" s="539"/>
      <c r="U6" s="539"/>
      <c r="V6" s="540"/>
      <c r="X6" s="540"/>
      <c r="Y6" s="540"/>
      <c r="Z6" s="540"/>
      <c r="AA6" s="541"/>
      <c r="AB6" s="557"/>
      <c r="AC6" s="540"/>
      <c r="AD6" s="540"/>
      <c r="AE6" s="540"/>
      <c r="AF6" s="540"/>
      <c r="AH6" s="540"/>
      <c r="AI6" s="540"/>
      <c r="AJ6" s="540"/>
      <c r="AK6" s="540"/>
      <c r="AL6" s="540"/>
      <c r="AM6" s="540"/>
      <c r="AN6" s="540"/>
      <c r="AO6" s="540"/>
      <c r="AP6" s="540"/>
      <c r="AR6" s="159">
        <v>0</v>
      </c>
      <c r="AS6" s="159">
        <v>0</v>
      </c>
      <c r="AT6" s="159">
        <v>0</v>
      </c>
      <c r="AU6" s="270">
        <v>15965.901635653492</v>
      </c>
      <c r="AV6" s="159">
        <v>17580.790146438256</v>
      </c>
      <c r="AW6" s="159">
        <v>18457.069241315767</v>
      </c>
      <c r="AX6" s="159">
        <v>23428.107483128453</v>
      </c>
      <c r="AY6" s="159">
        <v>25193.245133545224</v>
      </c>
      <c r="AZ6" s="159">
        <f>SUM(AU6:AY6)</f>
        <v>100625.11364008118</v>
      </c>
      <c r="BB6" s="159">
        <f t="shared" ref="BB6:BI7" si="0">AR6*BB37</f>
        <v>0</v>
      </c>
      <c r="BC6" s="159">
        <f t="shared" si="0"/>
        <v>0</v>
      </c>
      <c r="BD6" s="159">
        <f t="shared" si="0"/>
        <v>0</v>
      </c>
      <c r="BE6" s="270">
        <f t="shared" si="0"/>
        <v>1706.3030936363771</v>
      </c>
      <c r="BF6" s="159">
        <f t="shared" si="0"/>
        <v>1857.9562629838983</v>
      </c>
      <c r="BG6" s="159">
        <f t="shared" si="0"/>
        <v>2004.6021216589327</v>
      </c>
      <c r="BH6" s="159">
        <f t="shared" si="0"/>
        <v>2657.1197343402587</v>
      </c>
      <c r="BI6" s="159">
        <f t="shared" si="0"/>
        <v>2929.5427747946474</v>
      </c>
      <c r="BJ6" s="159">
        <f>SUM(BE6:BI6)</f>
        <v>11155.523987414113</v>
      </c>
      <c r="BL6" s="159">
        <f>AR6+BB6</f>
        <v>0</v>
      </c>
      <c r="BM6" s="159">
        <f t="shared" ref="BM6:BN8" si="1">AS6+BC6</f>
        <v>0</v>
      </c>
      <c r="BN6" s="159">
        <f t="shared" si="1"/>
        <v>0</v>
      </c>
      <c r="BO6" s="270">
        <f t="shared" ref="BO6:BO8" si="2">AU6+BE6</f>
        <v>17672.204729289868</v>
      </c>
      <c r="BP6" s="159">
        <f t="shared" ref="BP6:BP8" si="3">AV6+BF6</f>
        <v>19438.746409422154</v>
      </c>
      <c r="BQ6" s="159">
        <f t="shared" ref="BQ6:BQ8" si="4">AW6+BG6</f>
        <v>20461.671362974699</v>
      </c>
      <c r="BR6" s="159">
        <f t="shared" ref="BR6:BR8" si="5">AX6+BH6</f>
        <v>26085.227217468713</v>
      </c>
      <c r="BS6" s="159">
        <f t="shared" ref="BS6:BS8" si="6">AY6+BI6</f>
        <v>28122.787908339873</v>
      </c>
      <c r="BT6" s="159">
        <f>SUM(BO6:BS6)</f>
        <v>111780.63762749531</v>
      </c>
    </row>
    <row r="7" spans="2:72" x14ac:dyDescent="0.3">
      <c r="C7" s="1" t="s">
        <v>150</v>
      </c>
      <c r="D7" s="539"/>
      <c r="E7" s="539"/>
      <c r="F7" s="539"/>
      <c r="G7" s="538"/>
      <c r="H7" s="539"/>
      <c r="I7" s="539"/>
      <c r="J7" s="539"/>
      <c r="K7" s="539"/>
      <c r="L7" s="540"/>
      <c r="N7" s="539"/>
      <c r="O7" s="539"/>
      <c r="P7" s="539"/>
      <c r="Q7" s="538"/>
      <c r="R7" s="539"/>
      <c r="S7" s="539"/>
      <c r="T7" s="539"/>
      <c r="U7" s="539"/>
      <c r="V7" s="540"/>
      <c r="X7" s="540"/>
      <c r="Y7" s="540"/>
      <c r="Z7" s="540"/>
      <c r="AA7" s="541"/>
      <c r="AB7" s="557"/>
      <c r="AC7" s="540"/>
      <c r="AD7" s="540"/>
      <c r="AE7" s="540"/>
      <c r="AF7" s="540"/>
      <c r="AH7" s="540"/>
      <c r="AI7" s="540"/>
      <c r="AJ7" s="540"/>
      <c r="AK7" s="540"/>
      <c r="AL7" s="540"/>
      <c r="AM7" s="540"/>
      <c r="AN7" s="540"/>
      <c r="AO7" s="540"/>
      <c r="AP7" s="540"/>
      <c r="AR7" s="159">
        <v>0</v>
      </c>
      <c r="AS7" s="159">
        <v>1083.7583951178297</v>
      </c>
      <c r="AT7" s="159">
        <v>2579.6323431711921</v>
      </c>
      <c r="AU7" s="270">
        <v>23027.3276430894</v>
      </c>
      <c r="AV7" s="159">
        <v>32086.750224959582</v>
      </c>
      <c r="AW7" s="159">
        <v>32536.269744773726</v>
      </c>
      <c r="AX7" s="159">
        <v>17023.107751721916</v>
      </c>
      <c r="AY7" s="159">
        <v>5682.5737941539392</v>
      </c>
      <c r="AZ7" s="159">
        <f>SUM(AU7:AY7)</f>
        <v>110356.02915869855</v>
      </c>
      <c r="BB7" s="159">
        <f t="shared" si="0"/>
        <v>0</v>
      </c>
      <c r="BC7" s="159">
        <f t="shared" si="0"/>
        <v>89.292734733601691</v>
      </c>
      <c r="BD7" s="159">
        <f t="shared" si="0"/>
        <v>223.3386144294245</v>
      </c>
      <c r="BE7" s="270">
        <f t="shared" si="0"/>
        <v>2460.9697148477817</v>
      </c>
      <c r="BF7" s="159">
        <f t="shared" si="0"/>
        <v>3390.9612732247647</v>
      </c>
      <c r="BG7" s="159">
        <f t="shared" si="0"/>
        <v>3533.7287035388067</v>
      </c>
      <c r="BH7" s="159">
        <f t="shared" si="0"/>
        <v>1930.6909693612547</v>
      </c>
      <c r="BI7" s="159">
        <f t="shared" si="0"/>
        <v>660.78597309144834</v>
      </c>
      <c r="BJ7" s="159">
        <f>SUM(BE7:BI7)</f>
        <v>11977.136634064056</v>
      </c>
      <c r="BL7" s="159">
        <f t="shared" ref="BL7:BL8" si="7">AR7+BB7</f>
        <v>0</v>
      </c>
      <c r="BM7" s="159">
        <f t="shared" si="1"/>
        <v>1173.0511298514314</v>
      </c>
      <c r="BN7" s="159">
        <f t="shared" si="1"/>
        <v>2802.9709576006167</v>
      </c>
      <c r="BO7" s="270">
        <f t="shared" si="2"/>
        <v>25488.297357937183</v>
      </c>
      <c r="BP7" s="159">
        <f t="shared" si="3"/>
        <v>35477.711498184348</v>
      </c>
      <c r="BQ7" s="159">
        <f t="shared" si="4"/>
        <v>36069.99844831253</v>
      </c>
      <c r="BR7" s="159">
        <f t="shared" si="5"/>
        <v>18953.798721083171</v>
      </c>
      <c r="BS7" s="159">
        <f t="shared" si="6"/>
        <v>6343.359767245387</v>
      </c>
      <c r="BT7" s="159">
        <f>SUM(BO7:BS7)</f>
        <v>122333.16579276262</v>
      </c>
    </row>
    <row r="8" spans="2:72" x14ac:dyDescent="0.3">
      <c r="C8" s="1" t="s">
        <v>32</v>
      </c>
      <c r="D8" s="544"/>
      <c r="E8" s="544"/>
      <c r="F8" s="544"/>
      <c r="G8" s="543"/>
      <c r="H8" s="544"/>
      <c r="I8" s="544"/>
      <c r="J8" s="544"/>
      <c r="K8" s="544"/>
      <c r="L8" s="555"/>
      <c r="N8" s="544"/>
      <c r="O8" s="544"/>
      <c r="P8" s="544"/>
      <c r="Q8" s="543"/>
      <c r="R8" s="544"/>
      <c r="S8" s="544"/>
      <c r="T8" s="544"/>
      <c r="U8" s="544"/>
      <c r="V8" s="555"/>
      <c r="X8" s="555"/>
      <c r="Y8" s="555"/>
      <c r="Z8" s="555"/>
      <c r="AA8" s="558"/>
      <c r="AB8" s="555"/>
      <c r="AC8" s="555"/>
      <c r="AD8" s="555"/>
      <c r="AE8" s="555"/>
      <c r="AF8" s="555"/>
      <c r="AH8" s="555"/>
      <c r="AI8" s="555"/>
      <c r="AJ8" s="555"/>
      <c r="AK8" s="555"/>
      <c r="AL8" s="555"/>
      <c r="AM8" s="555"/>
      <c r="AN8" s="555"/>
      <c r="AO8" s="555"/>
      <c r="AP8" s="555"/>
      <c r="AR8" s="273">
        <v>0</v>
      </c>
      <c r="AS8" s="273">
        <v>0</v>
      </c>
      <c r="AT8" s="273">
        <v>0</v>
      </c>
      <c r="AU8" s="274">
        <v>14726.331290236154</v>
      </c>
      <c r="AV8" s="273">
        <v>12697.013658572454</v>
      </c>
      <c r="AW8" s="273">
        <v>10646.335579325672</v>
      </c>
      <c r="AX8" s="273">
        <v>10690.871715743113</v>
      </c>
      <c r="AY8" s="273">
        <v>10731.798604129874</v>
      </c>
      <c r="AZ8" s="273">
        <f>SUM(AU8:AY8)</f>
        <v>59492.350848007263</v>
      </c>
      <c r="BB8" s="291"/>
      <c r="BC8" s="291"/>
      <c r="BD8" s="291"/>
      <c r="BE8" s="292">
        <v>563.7789809229198</v>
      </c>
      <c r="BF8" s="291">
        <v>560.94304322409141</v>
      </c>
      <c r="BG8" s="291">
        <v>580.12868423820305</v>
      </c>
      <c r="BH8" s="291">
        <v>608.21379083266038</v>
      </c>
      <c r="BI8" s="291">
        <v>626.05276495374642</v>
      </c>
      <c r="BJ8" s="273">
        <f>SUM(BE8:BI8)</f>
        <v>2939.1172641716212</v>
      </c>
      <c r="BL8" s="273">
        <f t="shared" si="7"/>
        <v>0</v>
      </c>
      <c r="BM8" s="273">
        <f t="shared" si="1"/>
        <v>0</v>
      </c>
      <c r="BN8" s="273">
        <f t="shared" si="1"/>
        <v>0</v>
      </c>
      <c r="BO8" s="274">
        <f t="shared" si="2"/>
        <v>15290.110271159074</v>
      </c>
      <c r="BP8" s="273">
        <f t="shared" si="3"/>
        <v>13257.956701796546</v>
      </c>
      <c r="BQ8" s="273">
        <f t="shared" si="4"/>
        <v>11226.464263563876</v>
      </c>
      <c r="BR8" s="273">
        <f t="shared" si="5"/>
        <v>11299.085506575773</v>
      </c>
      <c r="BS8" s="273">
        <f t="shared" si="6"/>
        <v>11357.851369083621</v>
      </c>
      <c r="BT8" s="273">
        <f>SUM(BO8:BS8)</f>
        <v>62431.468112178882</v>
      </c>
    </row>
    <row r="9" spans="2:72" x14ac:dyDescent="0.3">
      <c r="C9" s="1" t="s">
        <v>482</v>
      </c>
      <c r="D9" s="540"/>
      <c r="E9" s="540"/>
      <c r="F9" s="540"/>
      <c r="G9" s="541"/>
      <c r="H9" s="540"/>
      <c r="I9" s="540"/>
      <c r="J9" s="540"/>
      <c r="K9" s="540"/>
      <c r="L9" s="540"/>
      <c r="N9" s="540"/>
      <c r="O9" s="540"/>
      <c r="P9" s="540"/>
      <c r="Q9" s="541"/>
      <c r="R9" s="540"/>
      <c r="S9" s="540"/>
      <c r="T9" s="540"/>
      <c r="U9" s="540"/>
      <c r="V9" s="540"/>
      <c r="X9" s="540"/>
      <c r="Y9" s="540"/>
      <c r="Z9" s="540"/>
      <c r="AA9" s="541"/>
      <c r="AB9" s="557"/>
      <c r="AC9" s="540"/>
      <c r="AD9" s="540"/>
      <c r="AE9" s="540"/>
      <c r="AF9" s="540"/>
      <c r="AH9" s="540"/>
      <c r="AI9" s="540"/>
      <c r="AJ9" s="540"/>
      <c r="AK9" s="540"/>
      <c r="AL9" s="540"/>
      <c r="AM9" s="540"/>
      <c r="AN9" s="540"/>
      <c r="AO9" s="540"/>
      <c r="AP9" s="540"/>
      <c r="AR9" s="159">
        <v>0</v>
      </c>
      <c r="AS9" s="159">
        <v>1083.7583951178297</v>
      </c>
      <c r="AT9" s="159">
        <v>2579.6323431711921</v>
      </c>
      <c r="AU9" s="270">
        <v>53719.560568979039</v>
      </c>
      <c r="AV9" s="271">
        <v>62364.554029970292</v>
      </c>
      <c r="AW9" s="159">
        <v>61639.674565415167</v>
      </c>
      <c r="AX9" s="159">
        <v>51142.086950593482</v>
      </c>
      <c r="AY9" s="159">
        <v>41607.617531829033</v>
      </c>
      <c r="AZ9" s="159">
        <f t="shared" ref="AZ9" si="8">SUM(AZ6:AZ8)</f>
        <v>270473.49364678701</v>
      </c>
      <c r="BB9" s="159">
        <f t="shared" ref="BB9:BI9" si="9">SUM(BB6:BB8)</f>
        <v>0</v>
      </c>
      <c r="BC9" s="159">
        <f t="shared" si="9"/>
        <v>89.292734733601691</v>
      </c>
      <c r="BD9" s="159">
        <f t="shared" ref="BD9" si="10">SUM(BD6:BD8)</f>
        <v>223.3386144294245</v>
      </c>
      <c r="BE9" s="270">
        <f t="shared" si="9"/>
        <v>4731.0517894070781</v>
      </c>
      <c r="BF9" s="159">
        <f t="shared" si="9"/>
        <v>5809.8605794327541</v>
      </c>
      <c r="BG9" s="159">
        <f t="shared" si="9"/>
        <v>6118.4595094359429</v>
      </c>
      <c r="BH9" s="159">
        <f t="shared" si="9"/>
        <v>5196.0244945341738</v>
      </c>
      <c r="BI9" s="159">
        <f t="shared" si="9"/>
        <v>4216.3815128398419</v>
      </c>
      <c r="BJ9" s="159">
        <f t="shared" ref="BJ9" si="11">SUM(BJ6:BJ8)</f>
        <v>26071.777885649793</v>
      </c>
      <c r="BL9" s="159">
        <f t="shared" ref="BL9:BT9" si="12">SUM(BL6:BL8)</f>
        <v>0</v>
      </c>
      <c r="BM9" s="159">
        <f t="shared" si="12"/>
        <v>1173.0511298514314</v>
      </c>
      <c r="BN9" s="159">
        <f t="shared" ref="BN9" si="13">SUM(BN6:BN8)</f>
        <v>2802.9709576006167</v>
      </c>
      <c r="BO9" s="270">
        <f t="shared" si="12"/>
        <v>58450.612358386126</v>
      </c>
      <c r="BP9" s="159">
        <f t="shared" si="12"/>
        <v>68174.414609403044</v>
      </c>
      <c r="BQ9" s="159">
        <f t="shared" si="12"/>
        <v>67758.134074851099</v>
      </c>
      <c r="BR9" s="159">
        <f t="shared" si="12"/>
        <v>56338.111445127659</v>
      </c>
      <c r="BS9" s="159">
        <f t="shared" si="12"/>
        <v>45823.999044668883</v>
      </c>
      <c r="BT9" s="159">
        <f t="shared" si="12"/>
        <v>296545.27153243683</v>
      </c>
    </row>
    <row r="10" spans="2:72" x14ac:dyDescent="0.3">
      <c r="B10" s="1" t="s">
        <v>45</v>
      </c>
      <c r="D10" s="537"/>
      <c r="E10" s="537"/>
      <c r="F10" s="537"/>
      <c r="G10" s="536"/>
      <c r="H10" s="537"/>
      <c r="I10" s="537"/>
      <c r="J10" s="537"/>
      <c r="K10" s="537"/>
      <c r="L10" s="537"/>
      <c r="N10" s="537"/>
      <c r="O10" s="537"/>
      <c r="P10" s="537"/>
      <c r="Q10" s="536"/>
      <c r="R10" s="537"/>
      <c r="S10" s="537"/>
      <c r="T10" s="537"/>
      <c r="U10" s="537"/>
      <c r="V10" s="537"/>
      <c r="X10" s="537"/>
      <c r="Y10" s="537"/>
      <c r="Z10" s="537"/>
      <c r="AA10" s="536"/>
      <c r="AB10" s="559"/>
      <c r="AC10" s="537"/>
      <c r="AD10" s="537"/>
      <c r="AE10" s="537"/>
      <c r="AF10" s="537"/>
      <c r="AH10" s="537"/>
      <c r="AI10" s="537"/>
      <c r="AJ10" s="537"/>
      <c r="AK10" s="537"/>
      <c r="AL10" s="537"/>
      <c r="AM10" s="537"/>
      <c r="AN10" s="537"/>
      <c r="AO10" s="537"/>
      <c r="AP10" s="537"/>
      <c r="AU10" s="38"/>
      <c r="BB10" s="159"/>
      <c r="BC10" s="159"/>
      <c r="BD10" s="159"/>
      <c r="BE10" s="270"/>
      <c r="BF10" s="159"/>
      <c r="BG10" s="159"/>
      <c r="BH10" s="159"/>
      <c r="BI10" s="159"/>
      <c r="BO10" s="38"/>
    </row>
    <row r="11" spans="2:72" x14ac:dyDescent="0.3">
      <c r="C11" s="1" t="s">
        <v>10</v>
      </c>
      <c r="D11" s="539"/>
      <c r="E11" s="539"/>
      <c r="F11" s="539"/>
      <c r="G11" s="538"/>
      <c r="H11" s="539"/>
      <c r="I11" s="539"/>
      <c r="J11" s="539"/>
      <c r="K11" s="539"/>
      <c r="L11" s="540"/>
      <c r="N11" s="539"/>
      <c r="O11" s="539"/>
      <c r="P11" s="539"/>
      <c r="Q11" s="538"/>
      <c r="R11" s="539"/>
      <c r="S11" s="539"/>
      <c r="T11" s="539"/>
      <c r="U11" s="539"/>
      <c r="V11" s="540"/>
      <c r="X11" s="540"/>
      <c r="Y11" s="540"/>
      <c r="Z11" s="540"/>
      <c r="AA11" s="541"/>
      <c r="AB11" s="557"/>
      <c r="AC11" s="540"/>
      <c r="AD11" s="540"/>
      <c r="AE11" s="540"/>
      <c r="AF11" s="540"/>
      <c r="AH11" s="540"/>
      <c r="AI11" s="540"/>
      <c r="AJ11" s="540"/>
      <c r="AK11" s="540"/>
      <c r="AL11" s="540"/>
      <c r="AM11" s="540"/>
      <c r="AN11" s="540"/>
      <c r="AO11" s="540"/>
      <c r="AP11" s="540"/>
      <c r="AR11" s="159">
        <v>0</v>
      </c>
      <c r="AS11" s="159">
        <v>0</v>
      </c>
      <c r="AT11" s="159">
        <v>0</v>
      </c>
      <c r="AU11" s="270">
        <v>19689.558953317868</v>
      </c>
      <c r="AV11" s="159">
        <v>17570.919691555246</v>
      </c>
      <c r="AW11" s="159">
        <v>14183.573875028585</v>
      </c>
      <c r="AX11" s="159">
        <v>12742.848090046415</v>
      </c>
      <c r="AY11" s="159">
        <v>12736.637804250819</v>
      </c>
      <c r="AZ11" s="159">
        <f>SUM(AU11:AY11)</f>
        <v>76923.538414198934</v>
      </c>
      <c r="BB11" s="159">
        <f t="shared" ref="BB11:BI12" si="14">AR11*BB37</f>
        <v>0</v>
      </c>
      <c r="BC11" s="159">
        <f t="shared" si="14"/>
        <v>0</v>
      </c>
      <c r="BD11" s="159">
        <f t="shared" si="14"/>
        <v>0</v>
      </c>
      <c r="BE11" s="270">
        <f t="shared" si="14"/>
        <v>2104.256691608196</v>
      </c>
      <c r="BF11" s="159">
        <f t="shared" si="14"/>
        <v>1856.9131430037589</v>
      </c>
      <c r="BG11" s="159">
        <f t="shared" si="14"/>
        <v>1540.4624597139791</v>
      </c>
      <c r="BH11" s="159">
        <f t="shared" si="14"/>
        <v>1445.2414970413579</v>
      </c>
      <c r="BI11" s="159">
        <f t="shared" si="14"/>
        <v>1481.0527606440467</v>
      </c>
      <c r="BJ11" s="159">
        <f>SUM(BE11:BI11)</f>
        <v>8427.9265520113386</v>
      </c>
      <c r="BL11" s="159">
        <f>AR11+BB11</f>
        <v>0</v>
      </c>
      <c r="BM11" s="159">
        <f t="shared" ref="BM11:BN13" si="15">AS11+BC11</f>
        <v>0</v>
      </c>
      <c r="BN11" s="159">
        <f t="shared" si="15"/>
        <v>0</v>
      </c>
      <c r="BO11" s="270">
        <f t="shared" ref="BO11:BO13" si="16">AU11+BE11</f>
        <v>21793.815644926064</v>
      </c>
      <c r="BP11" s="159">
        <f t="shared" ref="BP11:BP13" si="17">AV11+BF11</f>
        <v>19427.832834559005</v>
      </c>
      <c r="BQ11" s="159">
        <f t="shared" ref="BQ11:BQ13" si="18">AW11+BG11</f>
        <v>15724.036334742565</v>
      </c>
      <c r="BR11" s="159">
        <f t="shared" ref="BR11:BR13" si="19">AX11+BH11</f>
        <v>14188.089587087772</v>
      </c>
      <c r="BS11" s="159">
        <f t="shared" ref="BS11:BS13" si="20">AY11+BI11</f>
        <v>14217.690564894865</v>
      </c>
      <c r="BT11" s="159">
        <f>SUM(BO11:BS11)</f>
        <v>85351.46496621026</v>
      </c>
    </row>
    <row r="12" spans="2:72" x14ac:dyDescent="0.3">
      <c r="C12" s="1" t="s">
        <v>150</v>
      </c>
      <c r="D12" s="539"/>
      <c r="E12" s="539"/>
      <c r="F12" s="539"/>
      <c r="G12" s="538"/>
      <c r="H12" s="539"/>
      <c r="I12" s="539"/>
      <c r="J12" s="539"/>
      <c r="K12" s="539"/>
      <c r="L12" s="540"/>
      <c r="N12" s="539"/>
      <c r="O12" s="539"/>
      <c r="P12" s="539"/>
      <c r="Q12" s="538"/>
      <c r="R12" s="539"/>
      <c r="S12" s="539"/>
      <c r="T12" s="539"/>
      <c r="U12" s="539"/>
      <c r="V12" s="540"/>
      <c r="X12" s="540"/>
      <c r="Y12" s="540"/>
      <c r="Z12" s="540"/>
      <c r="AA12" s="541"/>
      <c r="AB12" s="557"/>
      <c r="AC12" s="540"/>
      <c r="AD12" s="540"/>
      <c r="AE12" s="540"/>
      <c r="AF12" s="540"/>
      <c r="AH12" s="540"/>
      <c r="AI12" s="540"/>
      <c r="AJ12" s="540"/>
      <c r="AK12" s="540"/>
      <c r="AL12" s="540"/>
      <c r="AM12" s="540"/>
      <c r="AN12" s="540"/>
      <c r="AO12" s="540"/>
      <c r="AP12" s="540"/>
      <c r="AR12" s="159">
        <v>0</v>
      </c>
      <c r="AS12" s="159">
        <v>0</v>
      </c>
      <c r="AT12" s="159">
        <v>0</v>
      </c>
      <c r="AU12" s="270">
        <v>97635.511739119524</v>
      </c>
      <c r="AV12" s="159">
        <v>95791.703813513799</v>
      </c>
      <c r="AW12" s="159">
        <v>93387.768947777353</v>
      </c>
      <c r="AX12" s="159">
        <v>94152.98342305643</v>
      </c>
      <c r="AY12" s="159">
        <v>101412.72622529887</v>
      </c>
      <c r="AZ12" s="159">
        <f>SUM(AU12:AY12)</f>
        <v>482380.69414876599</v>
      </c>
      <c r="BB12" s="159">
        <f t="shared" si="14"/>
        <v>0</v>
      </c>
      <c r="BC12" s="159">
        <f t="shared" si="14"/>
        <v>0</v>
      </c>
      <c r="BD12" s="159">
        <f t="shared" si="14"/>
        <v>0</v>
      </c>
      <c r="BE12" s="270">
        <f t="shared" si="14"/>
        <v>10434.473387785694</v>
      </c>
      <c r="BF12" s="159">
        <f t="shared" si="14"/>
        <v>10123.367298043393</v>
      </c>
      <c r="BG12" s="159">
        <f t="shared" si="14"/>
        <v>10142.743537563019</v>
      </c>
      <c r="BH12" s="159">
        <f t="shared" si="14"/>
        <v>10678.444704958622</v>
      </c>
      <c r="BI12" s="159">
        <f t="shared" si="14"/>
        <v>11792.562562334131</v>
      </c>
      <c r="BJ12" s="159">
        <f>SUM(BE12:BI12)</f>
        <v>53171.591490684863</v>
      </c>
      <c r="BL12" s="159">
        <f t="shared" ref="BL12:BL13" si="21">AR12+BB12</f>
        <v>0</v>
      </c>
      <c r="BM12" s="159">
        <f t="shared" si="15"/>
        <v>0</v>
      </c>
      <c r="BN12" s="159">
        <f t="shared" si="15"/>
        <v>0</v>
      </c>
      <c r="BO12" s="270">
        <f t="shared" si="16"/>
        <v>108069.98512690522</v>
      </c>
      <c r="BP12" s="159">
        <f t="shared" si="17"/>
        <v>105915.07111155719</v>
      </c>
      <c r="BQ12" s="159">
        <f t="shared" si="18"/>
        <v>103530.51248534037</v>
      </c>
      <c r="BR12" s="159">
        <f t="shared" si="19"/>
        <v>104831.42812801505</v>
      </c>
      <c r="BS12" s="159">
        <f t="shared" si="20"/>
        <v>113205.28878763301</v>
      </c>
      <c r="BT12" s="159">
        <f>SUM(BO12:BS12)</f>
        <v>535552.28563945089</v>
      </c>
    </row>
    <row r="13" spans="2:72" x14ac:dyDescent="0.3">
      <c r="C13" s="1" t="s">
        <v>32</v>
      </c>
      <c r="D13" s="544"/>
      <c r="E13" s="544"/>
      <c r="F13" s="544"/>
      <c r="G13" s="543"/>
      <c r="H13" s="544"/>
      <c r="I13" s="544"/>
      <c r="J13" s="544"/>
      <c r="K13" s="544"/>
      <c r="L13" s="555"/>
      <c r="N13" s="544"/>
      <c r="O13" s="544"/>
      <c r="P13" s="544"/>
      <c r="Q13" s="543"/>
      <c r="R13" s="544"/>
      <c r="S13" s="544"/>
      <c r="T13" s="544"/>
      <c r="U13" s="544"/>
      <c r="V13" s="555"/>
      <c r="X13" s="555"/>
      <c r="Y13" s="555"/>
      <c r="Z13" s="555"/>
      <c r="AA13" s="558"/>
      <c r="AB13" s="555"/>
      <c r="AC13" s="555"/>
      <c r="AD13" s="555"/>
      <c r="AE13" s="555"/>
      <c r="AF13" s="555"/>
      <c r="AH13" s="555"/>
      <c r="AI13" s="555"/>
      <c r="AJ13" s="555"/>
      <c r="AK13" s="555"/>
      <c r="AL13" s="555"/>
      <c r="AM13" s="555"/>
      <c r="AN13" s="555"/>
      <c r="AO13" s="555"/>
      <c r="AP13" s="555"/>
      <c r="AR13" s="273">
        <v>0</v>
      </c>
      <c r="AS13" s="273">
        <v>0</v>
      </c>
      <c r="AT13" s="273">
        <v>0</v>
      </c>
      <c r="AU13" s="274">
        <v>86402.325860556637</v>
      </c>
      <c r="AV13" s="273">
        <v>87128.558006582258</v>
      </c>
      <c r="AW13" s="273">
        <v>87980.229931833921</v>
      </c>
      <c r="AX13" s="273">
        <v>89232.791545681961</v>
      </c>
      <c r="AY13" s="273">
        <v>90439.290886397997</v>
      </c>
      <c r="AZ13" s="273">
        <f>SUM(AU13:AY13)</f>
        <v>441183.19623105275</v>
      </c>
      <c r="BB13" s="291"/>
      <c r="BC13" s="291"/>
      <c r="BD13" s="291"/>
      <c r="BE13" s="292">
        <v>5711.1653163132814</v>
      </c>
      <c r="BF13" s="291">
        <v>5486.4224135238783</v>
      </c>
      <c r="BG13" s="291">
        <v>5437.5231482718791</v>
      </c>
      <c r="BH13" s="291">
        <v>5656.4076707691693</v>
      </c>
      <c r="BI13" s="291">
        <v>5808.3662730211227</v>
      </c>
      <c r="BJ13" s="273">
        <f>SUM(BE13:BI13)</f>
        <v>28099.88482189933</v>
      </c>
      <c r="BL13" s="273">
        <f t="shared" si="21"/>
        <v>0</v>
      </c>
      <c r="BM13" s="273">
        <f t="shared" si="15"/>
        <v>0</v>
      </c>
      <c r="BN13" s="273">
        <f t="shared" si="15"/>
        <v>0</v>
      </c>
      <c r="BO13" s="274">
        <f t="shared" si="16"/>
        <v>92113.491176869924</v>
      </c>
      <c r="BP13" s="273">
        <f t="shared" si="17"/>
        <v>92614.980420106134</v>
      </c>
      <c r="BQ13" s="273">
        <f t="shared" si="18"/>
        <v>93417.753080105802</v>
      </c>
      <c r="BR13" s="273">
        <f t="shared" si="19"/>
        <v>94889.199216451132</v>
      </c>
      <c r="BS13" s="273">
        <f t="shared" si="20"/>
        <v>96247.657159419119</v>
      </c>
      <c r="BT13" s="273">
        <f>SUM(BO13:BS13)</f>
        <v>469283.0810529521</v>
      </c>
    </row>
    <row r="14" spans="2:72" x14ac:dyDescent="0.3">
      <c r="C14" s="1" t="s">
        <v>482</v>
      </c>
      <c r="D14" s="540"/>
      <c r="E14" s="540"/>
      <c r="F14" s="540"/>
      <c r="G14" s="541"/>
      <c r="H14" s="540"/>
      <c r="I14" s="540"/>
      <c r="J14" s="540"/>
      <c r="K14" s="540"/>
      <c r="L14" s="540"/>
      <c r="N14" s="539"/>
      <c r="O14" s="539"/>
      <c r="P14" s="539"/>
      <c r="Q14" s="538"/>
      <c r="R14" s="539"/>
      <c r="S14" s="539"/>
      <c r="T14" s="539"/>
      <c r="U14" s="539"/>
      <c r="V14" s="539"/>
      <c r="X14" s="540"/>
      <c r="Y14" s="540"/>
      <c r="Z14" s="540"/>
      <c r="AA14" s="541"/>
      <c r="AB14" s="557"/>
      <c r="AC14" s="540"/>
      <c r="AD14" s="540"/>
      <c r="AE14" s="540"/>
      <c r="AF14" s="540"/>
      <c r="AH14" s="540"/>
      <c r="AI14" s="540"/>
      <c r="AJ14" s="540"/>
      <c r="AK14" s="540"/>
      <c r="AL14" s="540"/>
      <c r="AM14" s="540"/>
      <c r="AN14" s="540"/>
      <c r="AO14" s="540"/>
      <c r="AP14" s="540"/>
      <c r="AR14" s="159">
        <v>0</v>
      </c>
      <c r="AS14" s="159">
        <v>0</v>
      </c>
      <c r="AT14" s="159">
        <v>0</v>
      </c>
      <c r="AU14" s="270">
        <v>203727.39655299403</v>
      </c>
      <c r="AV14" s="271">
        <v>200491.18151165132</v>
      </c>
      <c r="AW14" s="159">
        <v>195551.57275463984</v>
      </c>
      <c r="AX14" s="159">
        <v>196128.62305878481</v>
      </c>
      <c r="AY14" s="159">
        <v>204588.6549159477</v>
      </c>
      <c r="AZ14" s="159">
        <f t="shared" ref="AZ14" si="22">SUM(AZ11:AZ13)</f>
        <v>1000487.4287940176</v>
      </c>
      <c r="BB14" s="159">
        <f t="shared" ref="BB14:BI14" si="23">SUM(BB11:BB13)</f>
        <v>0</v>
      </c>
      <c r="BC14" s="159">
        <f t="shared" si="23"/>
        <v>0</v>
      </c>
      <c r="BD14" s="159">
        <f t="shared" ref="BD14" si="24">SUM(BD11:BD13)</f>
        <v>0</v>
      </c>
      <c r="BE14" s="270">
        <f t="shared" si="23"/>
        <v>18249.895395707172</v>
      </c>
      <c r="BF14" s="159">
        <f t="shared" si="23"/>
        <v>17466.702854571031</v>
      </c>
      <c r="BG14" s="159">
        <f t="shared" si="23"/>
        <v>17120.729145548878</v>
      </c>
      <c r="BH14" s="159">
        <f t="shared" si="23"/>
        <v>17780.093872769146</v>
      </c>
      <c r="BI14" s="159">
        <f t="shared" si="23"/>
        <v>19081.981595999299</v>
      </c>
      <c r="BJ14" s="159">
        <f t="shared" ref="BJ14" si="25">SUM(BJ11:BJ13)</f>
        <v>89699.402864595526</v>
      </c>
      <c r="BL14" s="159">
        <f t="shared" ref="BL14:BS14" si="26">SUM(BL11:BL13)</f>
        <v>0</v>
      </c>
      <c r="BM14" s="159">
        <f t="shared" si="26"/>
        <v>0</v>
      </c>
      <c r="BN14" s="159">
        <f t="shared" ref="BN14" si="27">SUM(BN11:BN13)</f>
        <v>0</v>
      </c>
      <c r="BO14" s="270">
        <f t="shared" si="26"/>
        <v>221977.2919487012</v>
      </c>
      <c r="BP14" s="159">
        <f t="shared" si="26"/>
        <v>217957.88436622231</v>
      </c>
      <c r="BQ14" s="159">
        <f t="shared" si="26"/>
        <v>212672.30190018873</v>
      </c>
      <c r="BR14" s="159">
        <f t="shared" si="26"/>
        <v>213908.71693155396</v>
      </c>
      <c r="BS14" s="159">
        <f t="shared" si="26"/>
        <v>223670.63651194697</v>
      </c>
      <c r="BT14" s="159">
        <f t="shared" ref="BT14" si="28">SUM(BT11:BT13)</f>
        <v>1090186.8316586134</v>
      </c>
    </row>
    <row r="15" spans="2:72" x14ac:dyDescent="0.3">
      <c r="B15" s="1" t="s">
        <v>48</v>
      </c>
      <c r="D15" s="537"/>
      <c r="E15" s="537"/>
      <c r="F15" s="537"/>
      <c r="G15" s="536"/>
      <c r="H15" s="537"/>
      <c r="I15" s="537"/>
      <c r="J15" s="537"/>
      <c r="K15" s="537"/>
      <c r="L15" s="537"/>
      <c r="N15" s="537"/>
      <c r="O15" s="537"/>
      <c r="P15" s="537"/>
      <c r="Q15" s="536"/>
      <c r="R15" s="537"/>
      <c r="S15" s="537"/>
      <c r="T15" s="537"/>
      <c r="U15" s="537"/>
      <c r="V15" s="537"/>
      <c r="X15" s="537"/>
      <c r="Y15" s="537"/>
      <c r="Z15" s="537"/>
      <c r="AA15" s="536"/>
      <c r="AB15" s="559"/>
      <c r="AC15" s="537"/>
      <c r="AD15" s="537"/>
      <c r="AE15" s="537"/>
      <c r="AF15" s="537"/>
      <c r="AH15" s="537"/>
      <c r="AI15" s="537"/>
      <c r="AJ15" s="537"/>
      <c r="AK15" s="537"/>
      <c r="AL15" s="537"/>
      <c r="AM15" s="537"/>
      <c r="AN15" s="537"/>
      <c r="AO15" s="537"/>
      <c r="AP15" s="537"/>
      <c r="AU15" s="38"/>
      <c r="BB15" s="159"/>
      <c r="BC15" s="159"/>
      <c r="BD15" s="159"/>
      <c r="BE15" s="270"/>
      <c r="BF15" s="159"/>
      <c r="BG15" s="159"/>
      <c r="BH15" s="159"/>
      <c r="BI15" s="159"/>
      <c r="BO15" s="38"/>
    </row>
    <row r="16" spans="2:72" x14ac:dyDescent="0.3">
      <c r="C16" s="1" t="s">
        <v>10</v>
      </c>
      <c r="D16" s="539"/>
      <c r="E16" s="539"/>
      <c r="F16" s="539"/>
      <c r="G16" s="538"/>
      <c r="H16" s="539"/>
      <c r="I16" s="539"/>
      <c r="J16" s="539"/>
      <c r="K16" s="539"/>
      <c r="L16" s="540"/>
      <c r="N16" s="539"/>
      <c r="O16" s="539"/>
      <c r="P16" s="539"/>
      <c r="Q16" s="538"/>
      <c r="R16" s="539"/>
      <c r="S16" s="539"/>
      <c r="T16" s="539"/>
      <c r="U16" s="539"/>
      <c r="V16" s="540"/>
      <c r="X16" s="540"/>
      <c r="Y16" s="540"/>
      <c r="Z16" s="540"/>
      <c r="AA16" s="541"/>
      <c r="AB16" s="557"/>
      <c r="AC16" s="540"/>
      <c r="AD16" s="540"/>
      <c r="AE16" s="540"/>
      <c r="AF16" s="540"/>
      <c r="AH16" s="540"/>
      <c r="AI16" s="540"/>
      <c r="AJ16" s="540"/>
      <c r="AK16" s="540"/>
      <c r="AL16" s="540"/>
      <c r="AM16" s="540"/>
      <c r="AN16" s="540"/>
      <c r="AO16" s="540"/>
      <c r="AP16" s="540"/>
      <c r="AR16" s="159">
        <v>0</v>
      </c>
      <c r="AS16" s="159">
        <v>0</v>
      </c>
      <c r="AT16" s="159">
        <v>0</v>
      </c>
      <c r="AU16" s="270">
        <v>5400.8488596730995</v>
      </c>
      <c r="AV16" s="159">
        <v>3855.4459545851851</v>
      </c>
      <c r="AW16" s="159">
        <v>4335.913204826631</v>
      </c>
      <c r="AX16" s="159">
        <v>6231.0274820101813</v>
      </c>
      <c r="AY16" s="159">
        <v>6833.3329876915859</v>
      </c>
      <c r="AZ16" s="159">
        <f>SUM(AU16:AY16)</f>
        <v>26656.568488786681</v>
      </c>
      <c r="BB16" s="159">
        <f t="shared" ref="BB16:BI18" si="29">AR16*BB37</f>
        <v>0</v>
      </c>
      <c r="BC16" s="159">
        <f t="shared" si="29"/>
        <v>0</v>
      </c>
      <c r="BD16" s="159">
        <f t="shared" si="29"/>
        <v>0</v>
      </c>
      <c r="BE16" s="270">
        <f t="shared" si="29"/>
        <v>577.19791389316765</v>
      </c>
      <c r="BF16" s="159">
        <f t="shared" si="29"/>
        <v>407.4475548739033</v>
      </c>
      <c r="BG16" s="159">
        <f t="shared" si="29"/>
        <v>470.91879518271924</v>
      </c>
      <c r="BH16" s="159">
        <f t="shared" si="29"/>
        <v>706.69754693539903</v>
      </c>
      <c r="BI16" s="159">
        <f t="shared" si="29"/>
        <v>794.59955141716875</v>
      </c>
      <c r="BJ16" s="159">
        <f>SUM(BE16:BI16)</f>
        <v>2956.861362302358</v>
      </c>
      <c r="BL16" s="159">
        <f>AR16+BB16</f>
        <v>0</v>
      </c>
      <c r="BM16" s="159">
        <f t="shared" ref="BM16:BN18" si="30">AS16+BC16</f>
        <v>0</v>
      </c>
      <c r="BN16" s="159">
        <f t="shared" si="30"/>
        <v>0</v>
      </c>
      <c r="BO16" s="270">
        <f t="shared" ref="BO16:BO18" si="31">AU16+BE16</f>
        <v>5978.0467735662669</v>
      </c>
      <c r="BP16" s="159">
        <f t="shared" ref="BP16:BP18" si="32">AV16+BF16</f>
        <v>4262.8935094590888</v>
      </c>
      <c r="BQ16" s="159">
        <f t="shared" ref="BQ16:BQ18" si="33">AW16+BG16</f>
        <v>4806.8320000093499</v>
      </c>
      <c r="BR16" s="159">
        <f t="shared" ref="BR16:BR18" si="34">AX16+BH16</f>
        <v>6937.7250289455806</v>
      </c>
      <c r="BS16" s="159">
        <f t="shared" ref="BS16:BS18" si="35">AY16+BI16</f>
        <v>7627.932539108755</v>
      </c>
      <c r="BT16" s="159">
        <f>SUM(BO16:BS16)</f>
        <v>29613.429851089044</v>
      </c>
    </row>
    <row r="17" spans="2:72" x14ac:dyDescent="0.3">
      <c r="C17" s="1" t="s">
        <v>150</v>
      </c>
      <c r="D17" s="539"/>
      <c r="E17" s="539"/>
      <c r="F17" s="539"/>
      <c r="G17" s="538"/>
      <c r="H17" s="539"/>
      <c r="I17" s="539"/>
      <c r="J17" s="539"/>
      <c r="K17" s="539"/>
      <c r="L17" s="540"/>
      <c r="N17" s="539"/>
      <c r="O17" s="539"/>
      <c r="P17" s="539"/>
      <c r="Q17" s="538"/>
      <c r="R17" s="539"/>
      <c r="S17" s="539"/>
      <c r="T17" s="539"/>
      <c r="U17" s="539"/>
      <c r="V17" s="540"/>
      <c r="X17" s="540"/>
      <c r="Y17" s="540"/>
      <c r="Z17" s="540"/>
      <c r="AA17" s="541"/>
      <c r="AB17" s="557"/>
      <c r="AC17" s="540"/>
      <c r="AD17" s="540"/>
      <c r="AE17" s="540"/>
      <c r="AF17" s="540"/>
      <c r="AH17" s="540"/>
      <c r="AI17" s="540"/>
      <c r="AJ17" s="540"/>
      <c r="AK17" s="540"/>
      <c r="AL17" s="540"/>
      <c r="AM17" s="540"/>
      <c r="AN17" s="540"/>
      <c r="AO17" s="540"/>
      <c r="AP17" s="540"/>
      <c r="AR17" s="159">
        <v>0</v>
      </c>
      <c r="AS17" s="159">
        <v>0</v>
      </c>
      <c r="AT17" s="159">
        <v>0</v>
      </c>
      <c r="AU17" s="270">
        <v>19702.837905526725</v>
      </c>
      <c r="AV17" s="159">
        <v>14611.605053083302</v>
      </c>
      <c r="AW17" s="159">
        <v>13977.428356347136</v>
      </c>
      <c r="AX17" s="159">
        <v>13625.645521022914</v>
      </c>
      <c r="AY17" s="159">
        <v>9762.5560734639057</v>
      </c>
      <c r="AZ17" s="159">
        <f>SUM(AU17:AY17)</f>
        <v>71680.072909443988</v>
      </c>
      <c r="BB17" s="159">
        <f t="shared" si="29"/>
        <v>0</v>
      </c>
      <c r="BC17" s="159">
        <f t="shared" si="29"/>
        <v>0</v>
      </c>
      <c r="BD17" s="159">
        <f t="shared" si="29"/>
        <v>0</v>
      </c>
      <c r="BE17" s="270">
        <f t="shared" si="29"/>
        <v>2105.6758358414054</v>
      </c>
      <c r="BF17" s="159">
        <f t="shared" si="29"/>
        <v>1544.169681481764</v>
      </c>
      <c r="BG17" s="159">
        <f t="shared" si="29"/>
        <v>1518.0732201919056</v>
      </c>
      <c r="BH17" s="159">
        <f t="shared" si="29"/>
        <v>1545.3647561207254</v>
      </c>
      <c r="BI17" s="159">
        <f t="shared" si="29"/>
        <v>1135.2180101031386</v>
      </c>
      <c r="BJ17" s="159">
        <f>SUM(BE17:BI17)</f>
        <v>7848.5015037389385</v>
      </c>
      <c r="BL17" s="159">
        <f t="shared" ref="BL17:BL18" si="36">AR17+BB17</f>
        <v>0</v>
      </c>
      <c r="BM17" s="159">
        <f t="shared" si="30"/>
        <v>0</v>
      </c>
      <c r="BN17" s="159">
        <f t="shared" si="30"/>
        <v>0</v>
      </c>
      <c r="BO17" s="270">
        <f t="shared" si="31"/>
        <v>21808.51374136813</v>
      </c>
      <c r="BP17" s="159">
        <f t="shared" si="32"/>
        <v>16155.774734565066</v>
      </c>
      <c r="BQ17" s="159">
        <f t="shared" si="33"/>
        <v>15495.501576539042</v>
      </c>
      <c r="BR17" s="159">
        <f t="shared" si="34"/>
        <v>15171.01027714364</v>
      </c>
      <c r="BS17" s="159">
        <f t="shared" si="35"/>
        <v>10897.774083567045</v>
      </c>
      <c r="BT17" s="159">
        <f>SUM(BO17:BS17)</f>
        <v>79528.574413182912</v>
      </c>
    </row>
    <row r="18" spans="2:72" x14ac:dyDescent="0.3">
      <c r="C18" s="1" t="s">
        <v>32</v>
      </c>
      <c r="D18" s="561"/>
      <c r="E18" s="561"/>
      <c r="F18" s="561"/>
      <c r="G18" s="561"/>
      <c r="H18" s="561"/>
      <c r="I18" s="561"/>
      <c r="J18" s="561"/>
      <c r="K18" s="561"/>
      <c r="L18" s="555"/>
      <c r="N18" s="561"/>
      <c r="O18" s="561"/>
      <c r="P18" s="561"/>
      <c r="Q18" s="561"/>
      <c r="R18" s="561"/>
      <c r="S18" s="561"/>
      <c r="T18" s="561"/>
      <c r="U18" s="561"/>
      <c r="V18" s="555"/>
      <c r="X18" s="555"/>
      <c r="Y18" s="555"/>
      <c r="Z18" s="555"/>
      <c r="AA18" s="558"/>
      <c r="AB18" s="555"/>
      <c r="AC18" s="555"/>
      <c r="AD18" s="555"/>
      <c r="AE18" s="555"/>
      <c r="AF18" s="555"/>
      <c r="AH18" s="555"/>
      <c r="AI18" s="555"/>
      <c r="AJ18" s="555"/>
      <c r="AK18" s="555"/>
      <c r="AL18" s="555"/>
      <c r="AM18" s="555"/>
      <c r="AN18" s="555"/>
      <c r="AO18" s="555"/>
      <c r="AP18" s="555"/>
      <c r="AR18" s="273">
        <v>0</v>
      </c>
      <c r="AS18" s="273">
        <v>0</v>
      </c>
      <c r="AT18" s="273">
        <v>0</v>
      </c>
      <c r="AU18" s="274">
        <v>0</v>
      </c>
      <c r="AV18" s="273">
        <v>0</v>
      </c>
      <c r="AW18" s="273">
        <v>0</v>
      </c>
      <c r="AX18" s="273">
        <v>0</v>
      </c>
      <c r="AY18" s="273">
        <v>0</v>
      </c>
      <c r="AZ18" s="273">
        <f>SUM(AU18:AY18)</f>
        <v>0</v>
      </c>
      <c r="BB18" s="273">
        <f t="shared" si="29"/>
        <v>0</v>
      </c>
      <c r="BC18" s="273">
        <f t="shared" si="29"/>
        <v>0</v>
      </c>
      <c r="BD18" s="273">
        <f t="shared" si="29"/>
        <v>0</v>
      </c>
      <c r="BE18" s="274">
        <f t="shared" si="29"/>
        <v>0</v>
      </c>
      <c r="BF18" s="273">
        <f t="shared" si="29"/>
        <v>0</v>
      </c>
      <c r="BG18" s="273">
        <f t="shared" si="29"/>
        <v>0</v>
      </c>
      <c r="BH18" s="273">
        <f t="shared" si="29"/>
        <v>0</v>
      </c>
      <c r="BI18" s="273">
        <f t="shared" si="29"/>
        <v>0</v>
      </c>
      <c r="BJ18" s="273">
        <f>SUM(BE18:BI18)</f>
        <v>0</v>
      </c>
      <c r="BL18" s="273">
        <f t="shared" si="36"/>
        <v>0</v>
      </c>
      <c r="BM18" s="273">
        <f t="shared" si="30"/>
        <v>0</v>
      </c>
      <c r="BN18" s="273">
        <f t="shared" si="30"/>
        <v>0</v>
      </c>
      <c r="BO18" s="274">
        <f t="shared" si="31"/>
        <v>0</v>
      </c>
      <c r="BP18" s="273">
        <f t="shared" si="32"/>
        <v>0</v>
      </c>
      <c r="BQ18" s="273">
        <f t="shared" si="33"/>
        <v>0</v>
      </c>
      <c r="BR18" s="273">
        <f t="shared" si="34"/>
        <v>0</v>
      </c>
      <c r="BS18" s="273">
        <f t="shared" si="35"/>
        <v>0</v>
      </c>
      <c r="BT18" s="273">
        <f>SUM(BO18:BS18)</f>
        <v>0</v>
      </c>
    </row>
    <row r="19" spans="2:72" x14ac:dyDescent="0.3">
      <c r="C19" s="1" t="s">
        <v>482</v>
      </c>
      <c r="D19" s="540"/>
      <c r="E19" s="540"/>
      <c r="F19" s="540"/>
      <c r="G19" s="541"/>
      <c r="H19" s="540"/>
      <c r="I19" s="540"/>
      <c r="J19" s="540"/>
      <c r="K19" s="540"/>
      <c r="L19" s="540"/>
      <c r="N19" s="540"/>
      <c r="O19" s="540"/>
      <c r="P19" s="540"/>
      <c r="Q19" s="541"/>
      <c r="R19" s="540"/>
      <c r="S19" s="540"/>
      <c r="T19" s="540"/>
      <c r="U19" s="540"/>
      <c r="V19" s="540"/>
      <c r="X19" s="540"/>
      <c r="Y19" s="540"/>
      <c r="Z19" s="540"/>
      <c r="AA19" s="541"/>
      <c r="AB19" s="557"/>
      <c r="AC19" s="540"/>
      <c r="AD19" s="540"/>
      <c r="AE19" s="540"/>
      <c r="AF19" s="540"/>
      <c r="AH19" s="540"/>
      <c r="AI19" s="540"/>
      <c r="AJ19" s="540"/>
      <c r="AK19" s="540"/>
      <c r="AL19" s="540"/>
      <c r="AM19" s="540"/>
      <c r="AN19" s="540"/>
      <c r="AO19" s="540"/>
      <c r="AP19" s="540"/>
      <c r="AR19" s="159">
        <v>0</v>
      </c>
      <c r="AS19" s="159">
        <v>0</v>
      </c>
      <c r="AT19" s="159">
        <v>0</v>
      </c>
      <c r="AU19" s="270">
        <v>25103.686765199825</v>
      </c>
      <c r="AV19" s="271">
        <v>18467.051007668488</v>
      </c>
      <c r="AW19" s="159">
        <v>18313.341561173766</v>
      </c>
      <c r="AX19" s="159">
        <v>19856.673003033095</v>
      </c>
      <c r="AY19" s="159">
        <v>16595.889061155493</v>
      </c>
      <c r="AZ19" s="159">
        <f t="shared" ref="AZ19:BI19" si="37">SUM(AZ16:AZ18)</f>
        <v>98336.641398230669</v>
      </c>
      <c r="BB19" s="159">
        <f t="shared" si="37"/>
        <v>0</v>
      </c>
      <c r="BC19" s="159">
        <f t="shared" si="37"/>
        <v>0</v>
      </c>
      <c r="BD19" s="159">
        <f t="shared" ref="BD19" si="38">SUM(BD16:BD18)</f>
        <v>0</v>
      </c>
      <c r="BE19" s="270">
        <f t="shared" si="37"/>
        <v>2682.8737497345728</v>
      </c>
      <c r="BF19" s="159">
        <f t="shared" si="37"/>
        <v>1951.6172363556673</v>
      </c>
      <c r="BG19" s="159">
        <f t="shared" si="37"/>
        <v>1988.9920153746248</v>
      </c>
      <c r="BH19" s="159">
        <f t="shared" si="37"/>
        <v>2252.0623030561246</v>
      </c>
      <c r="BI19" s="159">
        <f t="shared" si="37"/>
        <v>1929.8175615203072</v>
      </c>
      <c r="BJ19" s="159">
        <f t="shared" ref="BJ19" si="39">SUM(BJ16:BJ18)</f>
        <v>10805.362866041296</v>
      </c>
      <c r="BL19" s="159">
        <f t="shared" ref="BL19:BT19" si="40">SUM(BL16:BL18)</f>
        <v>0</v>
      </c>
      <c r="BM19" s="159">
        <f t="shared" si="40"/>
        <v>0</v>
      </c>
      <c r="BN19" s="159">
        <f t="shared" ref="BN19" si="41">SUM(BN16:BN18)</f>
        <v>0</v>
      </c>
      <c r="BO19" s="270">
        <f t="shared" si="40"/>
        <v>27786.560514934397</v>
      </c>
      <c r="BP19" s="159">
        <f t="shared" si="40"/>
        <v>20418.668244024157</v>
      </c>
      <c r="BQ19" s="159">
        <f t="shared" si="40"/>
        <v>20302.333576548393</v>
      </c>
      <c r="BR19" s="159">
        <f t="shared" si="40"/>
        <v>22108.73530608922</v>
      </c>
      <c r="BS19" s="159">
        <f t="shared" si="40"/>
        <v>18525.7066226758</v>
      </c>
      <c r="BT19" s="159">
        <f t="shared" si="40"/>
        <v>109142.00426427196</v>
      </c>
    </row>
    <row r="20" spans="2:72" x14ac:dyDescent="0.3">
      <c r="B20" s="1" t="s">
        <v>483</v>
      </c>
      <c r="D20" s="537"/>
      <c r="E20" s="537"/>
      <c r="F20" s="537"/>
      <c r="G20" s="536"/>
      <c r="H20" s="537"/>
      <c r="I20" s="537"/>
      <c r="J20" s="537"/>
      <c r="K20" s="537"/>
      <c r="L20" s="537"/>
      <c r="N20" s="537"/>
      <c r="O20" s="537"/>
      <c r="P20" s="537"/>
      <c r="Q20" s="536"/>
      <c r="R20" s="537"/>
      <c r="S20" s="537"/>
      <c r="T20" s="537"/>
      <c r="U20" s="537"/>
      <c r="V20" s="537"/>
      <c r="X20" s="537"/>
      <c r="Y20" s="537"/>
      <c r="Z20" s="537"/>
      <c r="AA20" s="536"/>
      <c r="AB20" s="559"/>
      <c r="AC20" s="537"/>
      <c r="AD20" s="537"/>
      <c r="AE20" s="537"/>
      <c r="AF20" s="537"/>
      <c r="AH20" s="537"/>
      <c r="AI20" s="537"/>
      <c r="AJ20" s="537"/>
      <c r="AK20" s="537"/>
      <c r="AL20" s="537"/>
      <c r="AM20" s="537"/>
      <c r="AN20" s="537"/>
      <c r="AO20" s="537"/>
      <c r="AP20" s="537"/>
      <c r="AU20" s="38"/>
      <c r="BB20" s="159"/>
      <c r="BC20" s="159"/>
      <c r="BD20" s="159"/>
      <c r="BE20" s="270"/>
      <c r="BF20" s="159"/>
      <c r="BG20" s="159"/>
      <c r="BH20" s="159"/>
      <c r="BI20" s="159"/>
      <c r="BO20" s="38"/>
    </row>
    <row r="21" spans="2:72" x14ac:dyDescent="0.3">
      <c r="C21" s="1" t="s">
        <v>49</v>
      </c>
      <c r="D21" s="540"/>
      <c r="E21" s="540"/>
      <c r="F21" s="540"/>
      <c r="G21" s="541"/>
      <c r="H21" s="540"/>
      <c r="I21" s="540"/>
      <c r="J21" s="540"/>
      <c r="K21" s="540"/>
      <c r="L21" s="540"/>
      <c r="N21" s="540"/>
      <c r="O21" s="540"/>
      <c r="P21" s="540"/>
      <c r="Q21" s="541"/>
      <c r="R21" s="540"/>
      <c r="S21" s="540"/>
      <c r="T21" s="540"/>
      <c r="U21" s="540"/>
      <c r="V21" s="540"/>
      <c r="X21" s="540"/>
      <c r="Y21" s="540"/>
      <c r="Z21" s="540"/>
      <c r="AA21" s="541"/>
      <c r="AB21" s="557"/>
      <c r="AC21" s="540"/>
      <c r="AD21" s="540"/>
      <c r="AE21" s="540"/>
      <c r="AF21" s="540"/>
      <c r="AH21" s="540"/>
      <c r="AI21" s="540"/>
      <c r="AJ21" s="540"/>
      <c r="AK21" s="540"/>
      <c r="AL21" s="540"/>
      <c r="AM21" s="540"/>
      <c r="AN21" s="540"/>
      <c r="AO21" s="540"/>
      <c r="AP21" s="540"/>
      <c r="AR21" s="159">
        <v>0</v>
      </c>
      <c r="AS21" s="159">
        <v>0</v>
      </c>
      <c r="AT21" s="364">
        <v>0</v>
      </c>
      <c r="AU21" s="270">
        <v>34188.24960561718</v>
      </c>
      <c r="AV21" s="159">
        <v>26140.147253099531</v>
      </c>
      <c r="AW21" s="159">
        <v>33633.745029755315</v>
      </c>
      <c r="AX21" s="159">
        <v>26032.447178289302</v>
      </c>
      <c r="AY21" s="159">
        <v>24841.237781728996</v>
      </c>
      <c r="AZ21" s="159">
        <f>SUM(AU21:AY21)</f>
        <v>144835.82684849031</v>
      </c>
      <c r="BB21" s="159">
        <f t="shared" ref="BB21:BI22" si="42">AR21*BB$40</f>
        <v>0</v>
      </c>
      <c r="BC21" s="159">
        <f t="shared" si="42"/>
        <v>0</v>
      </c>
      <c r="BD21" s="159">
        <f t="shared" si="42"/>
        <v>0</v>
      </c>
      <c r="BE21" s="270">
        <f t="shared" si="42"/>
        <v>2020.2083752208032</v>
      </c>
      <c r="BF21" s="159">
        <f t="shared" si="42"/>
        <v>2177.9964386042966</v>
      </c>
      <c r="BG21" s="159">
        <f t="shared" si="42"/>
        <v>2449.07984470663</v>
      </c>
      <c r="BH21" s="159">
        <f t="shared" si="42"/>
        <v>2495.0947915740117</v>
      </c>
      <c r="BI21" s="159">
        <f t="shared" si="42"/>
        <v>2432.4582994171788</v>
      </c>
      <c r="BJ21" s="159">
        <f>SUM(BE21:BI21)</f>
        <v>11574.837749522922</v>
      </c>
      <c r="BL21" s="159">
        <f>AR21+BB21</f>
        <v>0</v>
      </c>
      <c r="BM21" s="159">
        <f t="shared" ref="BM21:BN25" si="43">AS21+BC21</f>
        <v>0</v>
      </c>
      <c r="BN21" s="159">
        <f t="shared" si="43"/>
        <v>0</v>
      </c>
      <c r="BO21" s="270">
        <f t="shared" ref="BO21:BO25" si="44">AU21+BE21</f>
        <v>36208.457980837986</v>
      </c>
      <c r="BP21" s="159">
        <f t="shared" ref="BP21:BP25" si="45">AV21+BF21</f>
        <v>28318.143691703826</v>
      </c>
      <c r="BQ21" s="159">
        <f t="shared" ref="BQ21:BQ25" si="46">AW21+BG21</f>
        <v>36082.824874461949</v>
      </c>
      <c r="BR21" s="159">
        <f t="shared" ref="BR21:BR25" si="47">AX21+BH21</f>
        <v>28527.541969863312</v>
      </c>
      <c r="BS21" s="159">
        <f t="shared" ref="BS21:BS25" si="48">AY21+BI21</f>
        <v>27273.696081146176</v>
      </c>
      <c r="BT21" s="159">
        <f>SUM(BO21:BS21)</f>
        <v>156410.66459801327</v>
      </c>
    </row>
    <row r="22" spans="2:72" x14ac:dyDescent="0.3">
      <c r="C22" s="1" t="s">
        <v>520</v>
      </c>
      <c r="D22" s="540"/>
      <c r="E22" s="540"/>
      <c r="F22" s="540"/>
      <c r="G22" s="541"/>
      <c r="H22" s="540"/>
      <c r="I22" s="540"/>
      <c r="J22" s="540"/>
      <c r="K22" s="540"/>
      <c r="L22" s="540"/>
      <c r="N22" s="540"/>
      <c r="O22" s="540"/>
      <c r="P22" s="540"/>
      <c r="Q22" s="541"/>
      <c r="R22" s="540"/>
      <c r="S22" s="540"/>
      <c r="T22" s="540"/>
      <c r="U22" s="540"/>
      <c r="V22" s="540"/>
      <c r="X22" s="539"/>
      <c r="Y22" s="539"/>
      <c r="Z22" s="539"/>
      <c r="AA22" s="538"/>
      <c r="AB22" s="542"/>
      <c r="AC22" s="539"/>
      <c r="AD22" s="539"/>
      <c r="AE22" s="539"/>
      <c r="AF22" s="540"/>
      <c r="AH22" s="539"/>
      <c r="AI22" s="539"/>
      <c r="AJ22" s="539"/>
      <c r="AK22" s="539"/>
      <c r="AL22" s="539"/>
      <c r="AM22" s="539"/>
      <c r="AN22" s="539"/>
      <c r="AO22" s="539"/>
      <c r="AP22" s="540"/>
      <c r="AR22" s="159">
        <v>0</v>
      </c>
      <c r="AS22" s="159">
        <v>0</v>
      </c>
      <c r="AT22" s="364">
        <v>0</v>
      </c>
      <c r="AU22" s="270">
        <v>8765.7028724106021</v>
      </c>
      <c r="AV22" s="159">
        <v>3805.7902636679446</v>
      </c>
      <c r="AW22" s="159">
        <v>631.93325192737336</v>
      </c>
      <c r="AX22" s="159">
        <v>0</v>
      </c>
      <c r="AY22" s="159">
        <v>639.66892910521619</v>
      </c>
      <c r="AZ22" s="159">
        <f>SUM(AU22:AY22)</f>
        <v>13843.095317111136</v>
      </c>
      <c r="BB22" s="159">
        <f t="shared" si="42"/>
        <v>0</v>
      </c>
      <c r="BC22" s="159">
        <f t="shared" si="42"/>
        <v>0</v>
      </c>
      <c r="BD22" s="159">
        <f t="shared" si="42"/>
        <v>0</v>
      </c>
      <c r="BE22" s="270">
        <f t="shared" si="42"/>
        <v>517.97171723677275</v>
      </c>
      <c r="BF22" s="159">
        <f t="shared" si="42"/>
        <v>317.09835296971534</v>
      </c>
      <c r="BG22" s="159">
        <f t="shared" si="42"/>
        <v>46.014946867381497</v>
      </c>
      <c r="BH22" s="159">
        <f t="shared" si="42"/>
        <v>0</v>
      </c>
      <c r="BI22" s="159">
        <f t="shared" si="42"/>
        <v>62.63649215683261</v>
      </c>
      <c r="BJ22" s="159">
        <f>SUM(BE22:BI22)</f>
        <v>943.72150923070205</v>
      </c>
      <c r="BL22" s="159">
        <f t="shared" ref="BL22" si="49">AR22+BB22</f>
        <v>0</v>
      </c>
      <c r="BM22" s="159">
        <f t="shared" ref="BM22:BN22" si="50">AS22+BC22</f>
        <v>0</v>
      </c>
      <c r="BN22" s="159">
        <f t="shared" si="50"/>
        <v>0</v>
      </c>
      <c r="BO22" s="270">
        <f t="shared" ref="BO22" si="51">AU22+BE22</f>
        <v>9283.6745896473749</v>
      </c>
      <c r="BP22" s="159">
        <f t="shared" ref="BP22" si="52">AV22+BF22</f>
        <v>4122.8886166376597</v>
      </c>
      <c r="BQ22" s="159">
        <f t="shared" ref="BQ22" si="53">AW22+BG22</f>
        <v>677.94819879475483</v>
      </c>
      <c r="BR22" s="159">
        <f t="shared" ref="BR22" si="54">AX22+BH22</f>
        <v>0</v>
      </c>
      <c r="BS22" s="159">
        <f t="shared" ref="BS22" si="55">AY22+BI22</f>
        <v>702.30542126204875</v>
      </c>
      <c r="BT22" s="159">
        <f>SUM(BO22:BS22)</f>
        <v>14786.816826341837</v>
      </c>
    </row>
    <row r="23" spans="2:72" x14ac:dyDescent="0.3">
      <c r="C23" s="1" t="s">
        <v>50</v>
      </c>
      <c r="D23" s="540"/>
      <c r="E23" s="540"/>
      <c r="F23" s="540"/>
      <c r="G23" s="541"/>
      <c r="H23" s="540"/>
      <c r="I23" s="540"/>
      <c r="J23" s="540"/>
      <c r="K23" s="540"/>
      <c r="L23" s="540"/>
      <c r="N23" s="540"/>
      <c r="O23" s="540"/>
      <c r="P23" s="540"/>
      <c r="Q23" s="541"/>
      <c r="R23" s="540"/>
      <c r="S23" s="540"/>
      <c r="T23" s="540"/>
      <c r="U23" s="540"/>
      <c r="V23" s="540"/>
      <c r="X23" s="539"/>
      <c r="Y23" s="539"/>
      <c r="Z23" s="539"/>
      <c r="AA23" s="538"/>
      <c r="AB23" s="542"/>
      <c r="AC23" s="539"/>
      <c r="AD23" s="539"/>
      <c r="AE23" s="539"/>
      <c r="AF23" s="540"/>
      <c r="AH23" s="539"/>
      <c r="AI23" s="539"/>
      <c r="AJ23" s="539"/>
      <c r="AK23" s="539"/>
      <c r="AL23" s="539"/>
      <c r="AM23" s="539"/>
      <c r="AN23" s="539"/>
      <c r="AO23" s="539"/>
      <c r="AP23" s="540"/>
      <c r="AR23" s="159">
        <v>0</v>
      </c>
      <c r="AS23" s="159">
        <v>0</v>
      </c>
      <c r="AT23" s="159">
        <v>3832.2806338512264</v>
      </c>
      <c r="AU23" s="270">
        <v>8609.0555184570931</v>
      </c>
      <c r="AV23" s="159">
        <v>7282.8913679704201</v>
      </c>
      <c r="AW23" s="159">
        <v>6815.9056082205734</v>
      </c>
      <c r="AX23" s="159">
        <v>9905.6087169938728</v>
      </c>
      <c r="AY23" s="159">
        <v>12435.80274150986</v>
      </c>
      <c r="AZ23" s="159">
        <f>SUM(AU23:AY23)</f>
        <v>45049.263953151822</v>
      </c>
      <c r="BB23" s="164"/>
      <c r="BC23" s="164"/>
      <c r="BD23" s="164"/>
      <c r="BE23" s="288"/>
      <c r="BF23" s="164"/>
      <c r="BG23" s="164"/>
      <c r="BH23" s="164"/>
      <c r="BI23" s="164"/>
      <c r="BJ23" s="159">
        <f>SUM(BE23:BI23)</f>
        <v>0</v>
      </c>
      <c r="BL23" s="159">
        <f t="shared" ref="BL23:BL25" si="56">AR23+BB23</f>
        <v>0</v>
      </c>
      <c r="BM23" s="159">
        <f t="shared" si="43"/>
        <v>0</v>
      </c>
      <c r="BN23" s="159">
        <f t="shared" si="43"/>
        <v>3832.2806338512264</v>
      </c>
      <c r="BO23" s="270">
        <f t="shared" si="44"/>
        <v>8609.0555184570931</v>
      </c>
      <c r="BP23" s="159">
        <f t="shared" si="45"/>
        <v>7282.8913679704201</v>
      </c>
      <c r="BQ23" s="159">
        <f t="shared" si="46"/>
        <v>6815.9056082205734</v>
      </c>
      <c r="BR23" s="159">
        <f t="shared" si="47"/>
        <v>9905.6087169938728</v>
      </c>
      <c r="BS23" s="159">
        <f t="shared" si="48"/>
        <v>12435.80274150986</v>
      </c>
      <c r="BT23" s="159">
        <f>SUM(BO23:BS23)</f>
        <v>45049.263953151822</v>
      </c>
    </row>
    <row r="24" spans="2:72" x14ac:dyDescent="0.3">
      <c r="C24" s="1" t="s">
        <v>590</v>
      </c>
      <c r="D24" s="540"/>
      <c r="E24" s="540"/>
      <c r="F24" s="540"/>
      <c r="G24" s="541"/>
      <c r="H24" s="540"/>
      <c r="I24" s="540"/>
      <c r="J24" s="540"/>
      <c r="K24" s="540"/>
      <c r="L24" s="540"/>
      <c r="N24" s="540"/>
      <c r="O24" s="540"/>
      <c r="P24" s="540"/>
      <c r="Q24" s="541"/>
      <c r="R24" s="540"/>
      <c r="S24" s="540"/>
      <c r="T24" s="540"/>
      <c r="U24" s="540"/>
      <c r="V24" s="540"/>
      <c r="X24" s="539"/>
      <c r="Y24" s="539"/>
      <c r="Z24" s="539"/>
      <c r="AA24" s="538"/>
      <c r="AB24" s="542"/>
      <c r="AC24" s="539"/>
      <c r="AD24" s="539"/>
      <c r="AE24" s="539"/>
      <c r="AF24" s="540"/>
      <c r="AH24" s="539"/>
      <c r="AI24" s="539"/>
      <c r="AJ24" s="539"/>
      <c r="AK24" s="539"/>
      <c r="AL24" s="539"/>
      <c r="AM24" s="539"/>
      <c r="AN24" s="539"/>
      <c r="AO24" s="539"/>
      <c r="AP24" s="540"/>
      <c r="AR24" s="159">
        <v>0</v>
      </c>
      <c r="AS24" s="159">
        <v>0</v>
      </c>
      <c r="AT24" s="159">
        <v>152.21789856580605</v>
      </c>
      <c r="AU24" s="270">
        <v>1240.1278634824585</v>
      </c>
      <c r="AV24" s="159">
        <v>0</v>
      </c>
      <c r="AW24" s="159">
        <v>0</v>
      </c>
      <c r="AX24" s="159">
        <v>0</v>
      </c>
      <c r="AY24" s="159">
        <v>4601.6493504988621</v>
      </c>
      <c r="AZ24" s="159">
        <f>SUM(AU24:AY24)</f>
        <v>5841.7772139813205</v>
      </c>
      <c r="BB24" s="164"/>
      <c r="BC24" s="164"/>
      <c r="BD24" s="164"/>
      <c r="BE24" s="288"/>
      <c r="BF24" s="164"/>
      <c r="BG24" s="164"/>
      <c r="BH24" s="164"/>
      <c r="BI24" s="164"/>
      <c r="BJ24" s="159">
        <f>SUM(BE24:BI24)</f>
        <v>0</v>
      </c>
      <c r="BL24" s="159">
        <f t="shared" ref="BL24" si="57">AR24+BB24</f>
        <v>0</v>
      </c>
      <c r="BM24" s="159">
        <f t="shared" ref="BM24" si="58">AS24+BC24</f>
        <v>0</v>
      </c>
      <c r="BN24" s="159">
        <f t="shared" ref="BN24" si="59">AT24+BD24</f>
        <v>152.21789856580605</v>
      </c>
      <c r="BO24" s="270">
        <f t="shared" ref="BO24" si="60">AU24+BE24</f>
        <v>1240.1278634824585</v>
      </c>
      <c r="BP24" s="159">
        <f t="shared" ref="BP24" si="61">AV24+BF24</f>
        <v>0</v>
      </c>
      <c r="BQ24" s="159">
        <f t="shared" ref="BQ24" si="62">AW24+BG24</f>
        <v>0</v>
      </c>
      <c r="BR24" s="159">
        <f t="shared" ref="BR24" si="63">AX24+BH24</f>
        <v>0</v>
      </c>
      <c r="BS24" s="159">
        <f t="shared" ref="BS24" si="64">AY24+BI24</f>
        <v>4601.6493504988621</v>
      </c>
      <c r="BT24" s="159">
        <f>SUM(BO24:BS24)</f>
        <v>5841.7772139813205</v>
      </c>
    </row>
    <row r="25" spans="2:72" x14ac:dyDescent="0.3">
      <c r="C25" s="1" t="s">
        <v>397</v>
      </c>
      <c r="D25" s="555"/>
      <c r="E25" s="555"/>
      <c r="F25" s="555"/>
      <c r="G25" s="558"/>
      <c r="H25" s="555"/>
      <c r="I25" s="555"/>
      <c r="J25" s="555"/>
      <c r="K25" s="555"/>
      <c r="L25" s="555"/>
      <c r="N25" s="555"/>
      <c r="O25" s="555"/>
      <c r="P25" s="555"/>
      <c r="Q25" s="558"/>
      <c r="R25" s="555"/>
      <c r="S25" s="555"/>
      <c r="T25" s="555"/>
      <c r="U25" s="555"/>
      <c r="V25" s="555"/>
      <c r="X25" s="556"/>
      <c r="Y25" s="556"/>
      <c r="Z25" s="556"/>
      <c r="AA25" s="560"/>
      <c r="AB25" s="556"/>
      <c r="AC25" s="556"/>
      <c r="AD25" s="556"/>
      <c r="AE25" s="556"/>
      <c r="AF25" s="555"/>
      <c r="AH25" s="556"/>
      <c r="AI25" s="556"/>
      <c r="AJ25" s="556"/>
      <c r="AK25" s="556"/>
      <c r="AL25" s="556"/>
      <c r="AM25" s="556"/>
      <c r="AN25" s="556"/>
      <c r="AO25" s="556"/>
      <c r="AP25" s="555"/>
      <c r="AR25" s="406">
        <v>0</v>
      </c>
      <c r="AS25" s="406">
        <v>0</v>
      </c>
      <c r="AT25" s="273">
        <v>0</v>
      </c>
      <c r="AU25" s="274">
        <v>32.748425485238016</v>
      </c>
      <c r="AV25" s="273">
        <v>346.11253718651773</v>
      </c>
      <c r="AW25" s="273">
        <v>602.76485238508349</v>
      </c>
      <c r="AX25" s="273">
        <v>875.50577424282051</v>
      </c>
      <c r="AY25" s="273">
        <v>949.9482012322087</v>
      </c>
      <c r="AZ25" s="273">
        <f>SUM(AU25:AY25)</f>
        <v>2807.0797905318686</v>
      </c>
      <c r="BB25" s="165"/>
      <c r="BC25" s="165"/>
      <c r="BD25" s="165"/>
      <c r="BE25" s="290"/>
      <c r="BF25" s="165"/>
      <c r="BG25" s="165"/>
      <c r="BH25" s="165"/>
      <c r="BI25" s="165"/>
      <c r="BJ25" s="273">
        <f>SUM(BE25:BI25)</f>
        <v>0</v>
      </c>
      <c r="BL25" s="273">
        <f t="shared" si="56"/>
        <v>0</v>
      </c>
      <c r="BM25" s="273">
        <f t="shared" si="43"/>
        <v>0</v>
      </c>
      <c r="BN25" s="273">
        <f t="shared" si="43"/>
        <v>0</v>
      </c>
      <c r="BO25" s="274">
        <f t="shared" si="44"/>
        <v>32.748425485238016</v>
      </c>
      <c r="BP25" s="273">
        <f t="shared" si="45"/>
        <v>346.11253718651773</v>
      </c>
      <c r="BQ25" s="273">
        <f t="shared" si="46"/>
        <v>602.76485238508349</v>
      </c>
      <c r="BR25" s="273">
        <f t="shared" si="47"/>
        <v>875.50577424282051</v>
      </c>
      <c r="BS25" s="273">
        <f t="shared" si="48"/>
        <v>949.9482012322087</v>
      </c>
      <c r="BT25" s="273">
        <f>SUM(BO25:BS25)</f>
        <v>2807.0797905318686</v>
      </c>
    </row>
    <row r="26" spans="2:72" x14ac:dyDescent="0.3">
      <c r="C26" s="1" t="s">
        <v>482</v>
      </c>
      <c r="D26" s="540"/>
      <c r="E26" s="540"/>
      <c r="F26" s="540"/>
      <c r="G26" s="541"/>
      <c r="H26" s="540"/>
      <c r="I26" s="540"/>
      <c r="J26" s="540"/>
      <c r="K26" s="540"/>
      <c r="L26" s="540"/>
      <c r="N26" s="540"/>
      <c r="O26" s="540"/>
      <c r="P26" s="540"/>
      <c r="Q26" s="541"/>
      <c r="R26" s="540"/>
      <c r="S26" s="540"/>
      <c r="T26" s="540"/>
      <c r="U26" s="540"/>
      <c r="V26" s="540"/>
      <c r="X26" s="540"/>
      <c r="Y26" s="540"/>
      <c r="Z26" s="540"/>
      <c r="AA26" s="541"/>
      <c r="AB26" s="557"/>
      <c r="AC26" s="540"/>
      <c r="AD26" s="540"/>
      <c r="AE26" s="540"/>
      <c r="AF26" s="540"/>
      <c r="AH26" s="540"/>
      <c r="AI26" s="540"/>
      <c r="AJ26" s="540"/>
      <c r="AK26" s="540"/>
      <c r="AL26" s="540"/>
      <c r="AM26" s="540"/>
      <c r="AN26" s="540"/>
      <c r="AO26" s="540"/>
      <c r="AP26" s="540"/>
      <c r="AR26" s="159">
        <v>0</v>
      </c>
      <c r="AS26" s="159">
        <v>0</v>
      </c>
      <c r="AT26" s="159">
        <v>3984.4985324170325</v>
      </c>
      <c r="AU26" s="270">
        <v>52835.884285452572</v>
      </c>
      <c r="AV26" s="271">
        <v>37574.941421924414</v>
      </c>
      <c r="AW26" s="159">
        <v>41684.348742288341</v>
      </c>
      <c r="AX26" s="159">
        <v>36813.561669525996</v>
      </c>
      <c r="AY26" s="159">
        <v>43468.307004075148</v>
      </c>
      <c r="AZ26" s="159">
        <f t="shared" ref="AZ26" si="65">SUM(AZ21:AZ25)</f>
        <v>212377.04312326646</v>
      </c>
      <c r="BB26" s="158">
        <f t="shared" ref="BB26:BJ26" si="66">SUM(BB21:BB25)</f>
        <v>0</v>
      </c>
      <c r="BC26" s="158">
        <f t="shared" si="66"/>
        <v>0</v>
      </c>
      <c r="BD26" s="158">
        <f t="shared" si="66"/>
        <v>0</v>
      </c>
      <c r="BE26" s="269">
        <f t="shared" si="66"/>
        <v>2538.1800924575759</v>
      </c>
      <c r="BF26" s="158">
        <f t="shared" si="66"/>
        <v>2495.0947915740121</v>
      </c>
      <c r="BG26" s="158">
        <f t="shared" si="66"/>
        <v>2495.0947915740117</v>
      </c>
      <c r="BH26" s="158">
        <f t="shared" si="66"/>
        <v>2495.0947915740117</v>
      </c>
      <c r="BI26" s="158">
        <f t="shared" si="66"/>
        <v>2495.0947915740112</v>
      </c>
      <c r="BJ26" s="159">
        <f t="shared" si="66"/>
        <v>12518.559258753623</v>
      </c>
      <c r="BL26" s="159">
        <f t="shared" ref="BL26:BT26" si="67">SUM(BL21:BL25)</f>
        <v>0</v>
      </c>
      <c r="BM26" s="159">
        <f t="shared" si="67"/>
        <v>0</v>
      </c>
      <c r="BN26" s="159">
        <f t="shared" ref="BN26" si="68">SUM(BN21:BN25)</f>
        <v>3984.4985324170325</v>
      </c>
      <c r="BO26" s="270">
        <f t="shared" si="67"/>
        <v>55374.064377910145</v>
      </c>
      <c r="BP26" s="159">
        <f t="shared" si="67"/>
        <v>40070.036213498424</v>
      </c>
      <c r="BQ26" s="159">
        <f t="shared" si="67"/>
        <v>44179.443533862359</v>
      </c>
      <c r="BR26" s="159">
        <f t="shared" si="67"/>
        <v>39308.656461100007</v>
      </c>
      <c r="BS26" s="159">
        <f t="shared" si="67"/>
        <v>45963.401795649159</v>
      </c>
      <c r="BT26" s="159">
        <f t="shared" si="67"/>
        <v>224895.60238202012</v>
      </c>
    </row>
    <row r="27" spans="2:72" x14ac:dyDescent="0.3">
      <c r="G27" s="38"/>
      <c r="Q27" s="38"/>
      <c r="AA27" s="38"/>
      <c r="AB27" s="41"/>
      <c r="AU27" s="38"/>
      <c r="BE27" s="38"/>
      <c r="BO27" s="38"/>
    </row>
    <row r="28" spans="2:72" x14ac:dyDescent="0.3">
      <c r="B28" s="1" t="s">
        <v>146</v>
      </c>
      <c r="D28" s="540"/>
      <c r="E28" s="540"/>
      <c r="F28" s="540"/>
      <c r="G28" s="584"/>
      <c r="H28" s="540"/>
      <c r="I28" s="540"/>
      <c r="J28" s="540"/>
      <c r="K28" s="540"/>
      <c r="L28" s="540"/>
      <c r="N28" s="539"/>
      <c r="O28" s="539"/>
      <c r="P28" s="539"/>
      <c r="Q28" s="538"/>
      <c r="R28" s="539"/>
      <c r="S28" s="539"/>
      <c r="T28" s="539"/>
      <c r="U28" s="539"/>
      <c r="V28" s="539"/>
      <c r="X28" s="540"/>
      <c r="Y28" s="540"/>
      <c r="Z28" s="540"/>
      <c r="AA28" s="541"/>
      <c r="AB28" s="557"/>
      <c r="AC28" s="540"/>
      <c r="AD28" s="540"/>
      <c r="AE28" s="540"/>
      <c r="AF28" s="540"/>
      <c r="AH28" s="540"/>
      <c r="AI28" s="540"/>
      <c r="AJ28" s="540"/>
      <c r="AK28" s="540"/>
      <c r="AL28" s="540"/>
      <c r="AM28" s="540"/>
      <c r="AN28" s="540"/>
      <c r="AO28" s="540"/>
      <c r="AP28" s="540"/>
      <c r="AR28" s="159">
        <v>0</v>
      </c>
      <c r="AS28" s="159">
        <v>1083.7583951178297</v>
      </c>
      <c r="AT28" s="159">
        <v>6564.1308755882246</v>
      </c>
      <c r="AU28" s="586">
        <v>335386.52817262546</v>
      </c>
      <c r="AV28" s="271">
        <v>318897.72797121451</v>
      </c>
      <c r="AW28" s="159">
        <v>317188.93762351712</v>
      </c>
      <c r="AX28" s="159">
        <v>303940.9446819374</v>
      </c>
      <c r="AY28" s="159">
        <v>306260.46851300739</v>
      </c>
      <c r="AZ28" s="159">
        <f>SUM(AU28:AY28)</f>
        <v>1581674.6069623018</v>
      </c>
      <c r="BB28" s="159">
        <f t="shared" ref="BB28:BI28" si="69">BB9+BB14+BB19+BB26</f>
        <v>0</v>
      </c>
      <c r="BC28" s="159">
        <f t="shared" si="69"/>
        <v>89.292734733601691</v>
      </c>
      <c r="BD28" s="364">
        <f t="shared" ref="BD28" si="70">BD9+BD14+BD19+BD26</f>
        <v>223.3386144294245</v>
      </c>
      <c r="BE28" s="270">
        <f t="shared" si="69"/>
        <v>28202.0010273064</v>
      </c>
      <c r="BF28" s="271">
        <f t="shared" si="69"/>
        <v>27723.275461933466</v>
      </c>
      <c r="BG28" s="159">
        <f t="shared" si="69"/>
        <v>27723.275461933456</v>
      </c>
      <c r="BH28" s="159">
        <f t="shared" si="69"/>
        <v>27723.275461933456</v>
      </c>
      <c r="BI28" s="159">
        <f t="shared" si="69"/>
        <v>27723.275461933459</v>
      </c>
      <c r="BJ28" s="159">
        <f>SUM(BE28:BI28)</f>
        <v>139095.10287504026</v>
      </c>
      <c r="BL28" s="159">
        <f t="shared" ref="BL28:BS28" si="71">BL9+BL14+BL19+BL26</f>
        <v>0</v>
      </c>
      <c r="BM28" s="159">
        <f t="shared" si="71"/>
        <v>1173.0511298514314</v>
      </c>
      <c r="BN28" s="159">
        <f t="shared" ref="BN28" si="72">BN9+BN14+BN19+BN26</f>
        <v>6787.4694900176492</v>
      </c>
      <c r="BO28" s="270">
        <f t="shared" si="71"/>
        <v>363588.52919993189</v>
      </c>
      <c r="BP28" s="271">
        <f t="shared" si="71"/>
        <v>346621.00343314797</v>
      </c>
      <c r="BQ28" s="159">
        <f t="shared" si="71"/>
        <v>344912.21308545058</v>
      </c>
      <c r="BR28" s="159">
        <f t="shared" si="71"/>
        <v>331664.2201438708</v>
      </c>
      <c r="BS28" s="159">
        <f t="shared" si="71"/>
        <v>333983.74397494079</v>
      </c>
      <c r="BT28" s="159">
        <f>SUM(BO28:BS28)</f>
        <v>1720769.7098373421</v>
      </c>
    </row>
    <row r="29" spans="2:72" x14ac:dyDescent="0.3">
      <c r="D29" s="159" t="b">
        <f>D28=Base_Forecast!Q42</f>
        <v>1</v>
      </c>
      <c r="E29" s="159" t="b">
        <f>E28=Base_Forecast!R42</f>
        <v>1</v>
      </c>
      <c r="F29" s="159" t="b">
        <f>F28=Base_Forecast!S42</f>
        <v>1</v>
      </c>
      <c r="G29" s="159" t="b">
        <f>G28=Base_Forecast!T42</f>
        <v>1</v>
      </c>
      <c r="H29" s="159" t="b">
        <f>H28=Base_Forecast!U42</f>
        <v>1</v>
      </c>
      <c r="I29" s="159" t="b">
        <f>I28=Base_Forecast!V42</f>
        <v>1</v>
      </c>
      <c r="J29" s="159" t="b">
        <f>J28=Base_Forecast!W42</f>
        <v>1</v>
      </c>
      <c r="K29" s="159" t="b">
        <f>K28=Base_Forecast!X42</f>
        <v>1</v>
      </c>
      <c r="L29" s="159"/>
      <c r="N29" s="159" t="b">
        <f>N28=Base_Forecast!E42</f>
        <v>1</v>
      </c>
      <c r="O29" s="159" t="b">
        <f>O28=Base_Forecast!F42</f>
        <v>1</v>
      </c>
      <c r="P29" s="159" t="b">
        <f>P28=Base_Forecast!G42</f>
        <v>1</v>
      </c>
      <c r="Q29" s="270" t="b">
        <f>Q28=Base_Forecast!H42</f>
        <v>1</v>
      </c>
      <c r="R29" s="159" t="b">
        <f>R28=Base_Forecast!I42</f>
        <v>1</v>
      </c>
      <c r="S29" s="159" t="b">
        <f>S28=Base_Forecast!J42</f>
        <v>1</v>
      </c>
      <c r="T29" s="159" t="b">
        <f>T28=Base_Forecast!K42</f>
        <v>1</v>
      </c>
      <c r="U29" s="159" t="b">
        <f>U28=Base_Forecast!L42</f>
        <v>1</v>
      </c>
      <c r="V29" s="159"/>
      <c r="X29" s="1" t="b">
        <f>ROUND(X28,2)=ROUND(D28-N28,2)</f>
        <v>1</v>
      </c>
      <c r="Y29" s="1" t="b">
        <f t="shared" ref="Y29:Z29" si="73">ROUND(Y28,2)=ROUND(E28-O28,2)</f>
        <v>1</v>
      </c>
      <c r="Z29" s="1" t="b">
        <f t="shared" si="73"/>
        <v>1</v>
      </c>
      <c r="AA29" s="38" t="b">
        <f t="shared" ref="AA29:AF29" si="74">ROUND(AA28,2)=ROUND(G28-Q28,2)</f>
        <v>1</v>
      </c>
      <c r="AB29" s="1" t="b">
        <f t="shared" si="74"/>
        <v>1</v>
      </c>
      <c r="AC29" s="1" t="b">
        <f t="shared" si="74"/>
        <v>1</v>
      </c>
      <c r="AD29" s="1" t="b">
        <f t="shared" si="74"/>
        <v>1</v>
      </c>
      <c r="AE29" s="1" t="b">
        <f t="shared" si="74"/>
        <v>1</v>
      </c>
      <c r="AF29" s="1" t="b">
        <f t="shared" si="74"/>
        <v>1</v>
      </c>
      <c r="AH29" s="1" t="b">
        <f>AH28=Downer_Contract!AD15</f>
        <v>1</v>
      </c>
      <c r="AI29" s="1" t="b">
        <f>AI28=Downer_Contract!AE15</f>
        <v>1</v>
      </c>
      <c r="AJ29" s="1" t="b">
        <f>AJ28=Downer_Contract!AF15</f>
        <v>1</v>
      </c>
      <c r="AK29" s="1" t="b">
        <f>AK28=Downer_Contract!AG15</f>
        <v>1</v>
      </c>
      <c r="AL29" s="1" t="b">
        <f>AL28=Downer_Contract!AH15</f>
        <v>1</v>
      </c>
      <c r="AM29" s="1" t="b">
        <f>AM28=Downer_Contract!AI15</f>
        <v>1</v>
      </c>
      <c r="AN29" s="1" t="b">
        <f>AN28=Downer_Contract!AJ15</f>
        <v>1</v>
      </c>
      <c r="AO29" s="1" t="b">
        <f>AO28=Downer_Contract!AK15</f>
        <v>1</v>
      </c>
      <c r="AR29" s="159" t="b">
        <f>AR28=D28+Downer_Contract!AD15</f>
        <v>1</v>
      </c>
      <c r="AS29" s="159" t="b">
        <f>AS28=E28+Downer_Contract!AE15</f>
        <v>0</v>
      </c>
      <c r="AT29" s="159" t="b">
        <f>AT28=F28+Downer_Contract!AF15</f>
        <v>0</v>
      </c>
      <c r="AU29" s="586" t="b">
        <f>AU28=G28+Downer_Contract!AG15</f>
        <v>0</v>
      </c>
      <c r="AV29" s="159" t="b">
        <f>AV28=H28+Downer_Contract!AH15</f>
        <v>0</v>
      </c>
      <c r="AW29" s="159" t="b">
        <f>AW28=I28+Downer_Contract!AI15</f>
        <v>0</v>
      </c>
      <c r="AX29" s="159" t="b">
        <f>AX28=J28+Downer_Contract!AJ15</f>
        <v>0</v>
      </c>
      <c r="AY29" s="159" t="b">
        <f>AY28=K28+Downer_Contract!AK15</f>
        <v>0</v>
      </c>
      <c r="AZ29" s="159" t="b">
        <f>AZ28=(L28+SUM(Downer_Contract!AG15:AK15))</f>
        <v>0</v>
      </c>
      <c r="BE29" s="38" t="b">
        <f>BE28=AusNet_Overheads!K17</f>
        <v>1</v>
      </c>
      <c r="BF29" s="1" t="b">
        <f>BF28=AusNet_Overheads!L17</f>
        <v>1</v>
      </c>
      <c r="BG29" s="1" t="b">
        <f>BG28=AusNet_Overheads!M17</f>
        <v>1</v>
      </c>
      <c r="BH29" s="1" t="b">
        <f>BH28=AusNet_Overheads!N17</f>
        <v>1</v>
      </c>
      <c r="BI29" s="1" t="b">
        <f>BI28=AusNet_Overheads!O17</f>
        <v>1</v>
      </c>
    </row>
    <row r="30" spans="2:72" x14ac:dyDescent="0.3">
      <c r="B30" s="1" t="s">
        <v>484</v>
      </c>
      <c r="X30" s="159"/>
    </row>
    <row r="31" spans="2:72" x14ac:dyDescent="0.3">
      <c r="C31" s="1" t="s">
        <v>10</v>
      </c>
      <c r="D31" s="540"/>
      <c r="E31" s="540"/>
      <c r="F31" s="540"/>
      <c r="G31" s="541"/>
      <c r="H31" s="540"/>
      <c r="I31" s="540"/>
      <c r="J31" s="540"/>
      <c r="K31" s="540"/>
      <c r="L31" s="540"/>
      <c r="M31" s="159"/>
      <c r="N31" s="540"/>
      <c r="O31" s="540"/>
      <c r="P31" s="540"/>
      <c r="Q31" s="541"/>
      <c r="R31" s="540"/>
      <c r="S31" s="540"/>
      <c r="T31" s="540"/>
      <c r="U31" s="540"/>
      <c r="V31" s="540"/>
      <c r="W31" s="159"/>
      <c r="X31" s="540"/>
      <c r="Y31" s="540"/>
      <c r="Z31" s="540"/>
      <c r="AA31" s="541"/>
      <c r="AB31" s="540"/>
      <c r="AC31" s="540"/>
      <c r="AD31" s="540"/>
      <c r="AE31" s="540"/>
      <c r="AF31" s="540"/>
      <c r="AH31" s="540"/>
      <c r="AI31" s="540"/>
      <c r="AJ31" s="540"/>
      <c r="AK31" s="540"/>
      <c r="AL31" s="540"/>
      <c r="AM31" s="540"/>
      <c r="AN31" s="540"/>
      <c r="AO31" s="540"/>
      <c r="AP31" s="540"/>
      <c r="AR31" s="159">
        <f t="shared" ref="AR31:AS33" si="75">AR6+AR11+AR16</f>
        <v>0</v>
      </c>
      <c r="AS31" s="159">
        <f t="shared" si="75"/>
        <v>0</v>
      </c>
      <c r="AT31" s="159">
        <f t="shared" ref="AT31" si="76">AT6+AT11+AT16</f>
        <v>0</v>
      </c>
      <c r="AU31" s="270">
        <f t="shared" ref="AU31:AY33" si="77">AU6+AU11+AU16</f>
        <v>41056.309448644453</v>
      </c>
      <c r="AV31" s="159">
        <f t="shared" si="77"/>
        <v>39007.155792578691</v>
      </c>
      <c r="AW31" s="159">
        <f t="shared" si="77"/>
        <v>36976.556321170981</v>
      </c>
      <c r="AX31" s="159">
        <f t="shared" si="77"/>
        <v>42401.983055185054</v>
      </c>
      <c r="AY31" s="159">
        <f t="shared" si="77"/>
        <v>44763.215925487631</v>
      </c>
      <c r="AZ31" s="159">
        <f>SUM(AU31:AY31)</f>
        <v>204205.2205430668</v>
      </c>
      <c r="BB31" s="159">
        <f t="shared" ref="BB31:BC33" si="78">BB6+BB11+BB16</f>
        <v>0</v>
      </c>
      <c r="BC31" s="159">
        <f t="shared" si="78"/>
        <v>0</v>
      </c>
      <c r="BD31" s="159">
        <f t="shared" ref="BD31" si="79">BD6+BD11+BD16</f>
        <v>0</v>
      </c>
      <c r="BE31" s="270">
        <f t="shared" ref="BE31:BI33" si="80">BE6+BE11+BE16</f>
        <v>4387.7576991377409</v>
      </c>
      <c r="BF31" s="159">
        <f t="shared" si="80"/>
        <v>4122.3169608615608</v>
      </c>
      <c r="BG31" s="159">
        <f t="shared" si="80"/>
        <v>4015.9833765556309</v>
      </c>
      <c r="BH31" s="159">
        <f t="shared" si="80"/>
        <v>4809.0587783170158</v>
      </c>
      <c r="BI31" s="159">
        <f t="shared" si="80"/>
        <v>5205.1950868558633</v>
      </c>
      <c r="BJ31" s="159">
        <f>SUM(BE31:BI31)</f>
        <v>22540.311901727811</v>
      </c>
      <c r="BL31" s="159">
        <f t="shared" ref="BL31:BM33" si="81">BL6+BL11+BL16</f>
        <v>0</v>
      </c>
      <c r="BM31" s="159">
        <f t="shared" si="81"/>
        <v>0</v>
      </c>
      <c r="BN31" s="159">
        <f t="shared" ref="BN31" si="82">BN6+BN11+BN16</f>
        <v>0</v>
      </c>
      <c r="BO31" s="270">
        <f t="shared" ref="BO31:BS33" si="83">BO6+BO11+BO16</f>
        <v>45444.067147782203</v>
      </c>
      <c r="BP31" s="159">
        <f t="shared" si="83"/>
        <v>43129.472753440248</v>
      </c>
      <c r="BQ31" s="159">
        <f t="shared" si="83"/>
        <v>40992.539697726614</v>
      </c>
      <c r="BR31" s="159">
        <f t="shared" si="83"/>
        <v>47211.041833502066</v>
      </c>
      <c r="BS31" s="159">
        <f t="shared" si="83"/>
        <v>49968.411012343495</v>
      </c>
      <c r="BT31" s="159">
        <f>SUM(BO31:BS31)</f>
        <v>226745.5324447946</v>
      </c>
    </row>
    <row r="32" spans="2:72" x14ac:dyDescent="0.3">
      <c r="C32" s="1" t="s">
        <v>150</v>
      </c>
      <c r="D32" s="540"/>
      <c r="E32" s="540"/>
      <c r="F32" s="540"/>
      <c r="G32" s="541"/>
      <c r="H32" s="540"/>
      <c r="I32" s="540"/>
      <c r="J32" s="540"/>
      <c r="K32" s="540"/>
      <c r="L32" s="540"/>
      <c r="M32" s="159"/>
      <c r="N32" s="540"/>
      <c r="O32" s="540"/>
      <c r="P32" s="540"/>
      <c r="Q32" s="541"/>
      <c r="R32" s="540"/>
      <c r="S32" s="540"/>
      <c r="T32" s="540"/>
      <c r="U32" s="540"/>
      <c r="V32" s="540"/>
      <c r="W32" s="158"/>
      <c r="X32" s="540"/>
      <c r="Y32" s="540"/>
      <c r="Z32" s="540"/>
      <c r="AA32" s="541"/>
      <c r="AB32" s="540"/>
      <c r="AC32" s="540"/>
      <c r="AD32" s="540"/>
      <c r="AE32" s="540"/>
      <c r="AF32" s="540"/>
      <c r="AH32" s="540"/>
      <c r="AI32" s="540"/>
      <c r="AJ32" s="540"/>
      <c r="AK32" s="540"/>
      <c r="AL32" s="540"/>
      <c r="AM32" s="540"/>
      <c r="AN32" s="540"/>
      <c r="AO32" s="540"/>
      <c r="AP32" s="540"/>
      <c r="AR32" s="159">
        <f t="shared" si="75"/>
        <v>0</v>
      </c>
      <c r="AS32" s="159">
        <f t="shared" si="75"/>
        <v>1083.7583951178297</v>
      </c>
      <c r="AT32" s="159">
        <f t="shared" ref="AT32" si="84">AT7+AT12+AT17</f>
        <v>2579.6323431711921</v>
      </c>
      <c r="AU32" s="270">
        <f t="shared" si="77"/>
        <v>140365.67728773566</v>
      </c>
      <c r="AV32" s="159">
        <f t="shared" si="77"/>
        <v>142490.0590915567</v>
      </c>
      <c r="AW32" s="159">
        <f t="shared" si="77"/>
        <v>139901.46704889822</v>
      </c>
      <c r="AX32" s="159">
        <f t="shared" si="77"/>
        <v>124801.73669580127</v>
      </c>
      <c r="AY32" s="159">
        <f t="shared" si="77"/>
        <v>116857.85609291671</v>
      </c>
      <c r="AZ32" s="159">
        <f>SUM(AU32:AY32)</f>
        <v>664416.79621690849</v>
      </c>
      <c r="BB32" s="159">
        <f t="shared" si="78"/>
        <v>0</v>
      </c>
      <c r="BC32" s="159">
        <f t="shared" si="78"/>
        <v>89.292734733601691</v>
      </c>
      <c r="BD32" s="159">
        <f t="shared" ref="BD32" si="85">BD7+BD12+BD17</f>
        <v>223.3386144294245</v>
      </c>
      <c r="BE32" s="270">
        <f t="shared" si="80"/>
        <v>15001.11893847488</v>
      </c>
      <c r="BF32" s="159">
        <f t="shared" si="80"/>
        <v>15058.498252749921</v>
      </c>
      <c r="BG32" s="159">
        <f t="shared" si="80"/>
        <v>15194.545461293732</v>
      </c>
      <c r="BH32" s="159">
        <f t="shared" si="80"/>
        <v>14154.500430440601</v>
      </c>
      <c r="BI32" s="159">
        <f t="shared" si="80"/>
        <v>13588.566545528718</v>
      </c>
      <c r="BJ32" s="159">
        <f>SUM(BE32:BI32)</f>
        <v>72997.229628487854</v>
      </c>
      <c r="BL32" s="159">
        <f t="shared" si="81"/>
        <v>0</v>
      </c>
      <c r="BM32" s="159">
        <f t="shared" si="81"/>
        <v>1173.0511298514314</v>
      </c>
      <c r="BN32" s="159">
        <f t="shared" ref="BN32" si="86">BN7+BN12+BN17</f>
        <v>2802.9709576006167</v>
      </c>
      <c r="BO32" s="270">
        <f t="shared" si="83"/>
        <v>155366.79622621054</v>
      </c>
      <c r="BP32" s="159">
        <f t="shared" si="83"/>
        <v>157548.55734430661</v>
      </c>
      <c r="BQ32" s="159">
        <f t="shared" si="83"/>
        <v>155096.01251019194</v>
      </c>
      <c r="BR32" s="159">
        <f t="shared" si="83"/>
        <v>138956.23712624187</v>
      </c>
      <c r="BS32" s="159">
        <f t="shared" si="83"/>
        <v>130446.42263844544</v>
      </c>
      <c r="BT32" s="159">
        <f>SUM(BO32:BS32)</f>
        <v>737414.02584539633</v>
      </c>
    </row>
    <row r="33" spans="2:72" x14ac:dyDescent="0.3">
      <c r="C33" s="1" t="s">
        <v>32</v>
      </c>
      <c r="D33" s="540"/>
      <c r="E33" s="540"/>
      <c r="F33" s="540"/>
      <c r="G33" s="541"/>
      <c r="H33" s="540"/>
      <c r="I33" s="540"/>
      <c r="J33" s="540"/>
      <c r="K33" s="540"/>
      <c r="L33" s="540"/>
      <c r="M33" s="159"/>
      <c r="N33" s="540"/>
      <c r="O33" s="540"/>
      <c r="P33" s="540"/>
      <c r="Q33" s="541"/>
      <c r="R33" s="540"/>
      <c r="S33" s="540"/>
      <c r="T33" s="540"/>
      <c r="U33" s="540"/>
      <c r="V33" s="540"/>
      <c r="W33" s="158"/>
      <c r="X33" s="540"/>
      <c r="Y33" s="540"/>
      <c r="Z33" s="540"/>
      <c r="AA33" s="541"/>
      <c r="AB33" s="540"/>
      <c r="AC33" s="540"/>
      <c r="AD33" s="540"/>
      <c r="AE33" s="540"/>
      <c r="AF33" s="540"/>
      <c r="AH33" s="540"/>
      <c r="AI33" s="540"/>
      <c r="AJ33" s="540"/>
      <c r="AK33" s="540"/>
      <c r="AL33" s="540"/>
      <c r="AM33" s="540"/>
      <c r="AN33" s="540"/>
      <c r="AO33" s="540"/>
      <c r="AP33" s="540"/>
      <c r="AR33" s="159">
        <f t="shared" si="75"/>
        <v>0</v>
      </c>
      <c r="AS33" s="159">
        <f t="shared" si="75"/>
        <v>0</v>
      </c>
      <c r="AT33" s="159">
        <f t="shared" ref="AT33" si="87">AT8+AT13+AT18</f>
        <v>0</v>
      </c>
      <c r="AU33" s="270">
        <f t="shared" si="77"/>
        <v>101128.65715079279</v>
      </c>
      <c r="AV33" s="159">
        <f t="shared" si="77"/>
        <v>99825.571665154712</v>
      </c>
      <c r="AW33" s="159">
        <f t="shared" si="77"/>
        <v>98626.565511159599</v>
      </c>
      <c r="AX33" s="159">
        <f t="shared" si="77"/>
        <v>99923.66326142507</v>
      </c>
      <c r="AY33" s="159">
        <f t="shared" si="77"/>
        <v>101171.08949052787</v>
      </c>
      <c r="AZ33" s="159">
        <f>SUM(AU33:AY33)</f>
        <v>500675.54707905999</v>
      </c>
      <c r="BB33" s="159">
        <f t="shared" si="78"/>
        <v>0</v>
      </c>
      <c r="BC33" s="159">
        <f t="shared" si="78"/>
        <v>0</v>
      </c>
      <c r="BD33" s="159">
        <f t="shared" ref="BD33" si="88">BD8+BD13+BD18</f>
        <v>0</v>
      </c>
      <c r="BE33" s="270">
        <f t="shared" si="80"/>
        <v>6274.9442972362012</v>
      </c>
      <c r="BF33" s="159">
        <f t="shared" si="80"/>
        <v>6047.3654567479698</v>
      </c>
      <c r="BG33" s="159">
        <f t="shared" si="80"/>
        <v>6017.6518325100824</v>
      </c>
      <c r="BH33" s="159">
        <f t="shared" si="80"/>
        <v>6264.6214616018297</v>
      </c>
      <c r="BI33" s="159">
        <f t="shared" si="80"/>
        <v>6434.4190379748688</v>
      </c>
      <c r="BJ33" s="159">
        <f>SUM(BE33:BI33)</f>
        <v>31039.002086070952</v>
      </c>
      <c r="BL33" s="159">
        <f t="shared" si="81"/>
        <v>0</v>
      </c>
      <c r="BM33" s="159">
        <f t="shared" si="81"/>
        <v>0</v>
      </c>
      <c r="BN33" s="159">
        <f t="shared" ref="BN33" si="89">BN8+BN13+BN18</f>
        <v>0</v>
      </c>
      <c r="BO33" s="270">
        <f t="shared" si="83"/>
        <v>107403.601448029</v>
      </c>
      <c r="BP33" s="159">
        <f t="shared" si="83"/>
        <v>105872.93712190268</v>
      </c>
      <c r="BQ33" s="159">
        <f t="shared" si="83"/>
        <v>104644.21734366968</v>
      </c>
      <c r="BR33" s="159">
        <f t="shared" si="83"/>
        <v>106188.28472302691</v>
      </c>
      <c r="BS33" s="159">
        <f t="shared" si="83"/>
        <v>107605.50852850275</v>
      </c>
      <c r="BT33" s="159">
        <f>SUM(BO33:BS33)</f>
        <v>531714.54916513106</v>
      </c>
    </row>
    <row r="34" spans="2:72" x14ac:dyDescent="0.3">
      <c r="C34" s="1" t="s">
        <v>483</v>
      </c>
      <c r="D34" s="540"/>
      <c r="E34" s="540"/>
      <c r="F34" s="540"/>
      <c r="G34" s="541"/>
      <c r="H34" s="540"/>
      <c r="I34" s="540"/>
      <c r="J34" s="540"/>
      <c r="K34" s="540"/>
      <c r="L34" s="540"/>
      <c r="M34" s="159"/>
      <c r="N34" s="540"/>
      <c r="O34" s="540"/>
      <c r="P34" s="540"/>
      <c r="Q34" s="541"/>
      <c r="R34" s="540"/>
      <c r="S34" s="540"/>
      <c r="T34" s="540"/>
      <c r="U34" s="540"/>
      <c r="V34" s="540"/>
      <c r="W34" s="276"/>
      <c r="X34" s="540"/>
      <c r="Y34" s="540"/>
      <c r="Z34" s="540"/>
      <c r="AA34" s="541"/>
      <c r="AB34" s="540"/>
      <c r="AC34" s="540"/>
      <c r="AD34" s="540"/>
      <c r="AE34" s="540"/>
      <c r="AF34" s="540"/>
      <c r="AH34" s="540"/>
      <c r="AI34" s="540"/>
      <c r="AJ34" s="540"/>
      <c r="AK34" s="540"/>
      <c r="AL34" s="540"/>
      <c r="AM34" s="540"/>
      <c r="AN34" s="540"/>
      <c r="AO34" s="540"/>
      <c r="AP34" s="540"/>
      <c r="AR34" s="159">
        <f t="shared" ref="AR34:AY34" si="90">AR26</f>
        <v>0</v>
      </c>
      <c r="AS34" s="159">
        <f t="shared" si="90"/>
        <v>0</v>
      </c>
      <c r="AT34" s="159">
        <f t="shared" ref="AT34" si="91">AT26</f>
        <v>3984.4985324170325</v>
      </c>
      <c r="AU34" s="270">
        <f t="shared" si="90"/>
        <v>52835.884285452572</v>
      </c>
      <c r="AV34" s="159">
        <f t="shared" si="90"/>
        <v>37574.941421924414</v>
      </c>
      <c r="AW34" s="159">
        <f t="shared" si="90"/>
        <v>41684.348742288341</v>
      </c>
      <c r="AX34" s="159">
        <f t="shared" si="90"/>
        <v>36813.561669525996</v>
      </c>
      <c r="AY34" s="159">
        <f t="shared" si="90"/>
        <v>43468.307004075148</v>
      </c>
      <c r="AZ34" s="159">
        <f>SUM(AU34:AY34)</f>
        <v>212377.04312326649</v>
      </c>
      <c r="BB34" s="159">
        <f t="shared" ref="BB34:BI34" si="92">BB26</f>
        <v>0</v>
      </c>
      <c r="BC34" s="159">
        <f t="shared" si="92"/>
        <v>0</v>
      </c>
      <c r="BD34" s="159">
        <f t="shared" ref="BD34" si="93">BD26</f>
        <v>0</v>
      </c>
      <c r="BE34" s="270">
        <f t="shared" si="92"/>
        <v>2538.1800924575759</v>
      </c>
      <c r="BF34" s="159">
        <f t="shared" si="92"/>
        <v>2495.0947915740121</v>
      </c>
      <c r="BG34" s="159">
        <f t="shared" si="92"/>
        <v>2495.0947915740117</v>
      </c>
      <c r="BH34" s="159">
        <f t="shared" si="92"/>
        <v>2495.0947915740117</v>
      </c>
      <c r="BI34" s="159">
        <f t="shared" si="92"/>
        <v>2495.0947915740112</v>
      </c>
      <c r="BJ34" s="159">
        <f>SUM(BE34:BI34)</f>
        <v>12518.559258753623</v>
      </c>
      <c r="BL34" s="159">
        <f t="shared" ref="BL34:BS34" si="94">BL26</f>
        <v>0</v>
      </c>
      <c r="BM34" s="159">
        <f t="shared" si="94"/>
        <v>0</v>
      </c>
      <c r="BN34" s="159">
        <f t="shared" ref="BN34" si="95">BN26</f>
        <v>3984.4985324170325</v>
      </c>
      <c r="BO34" s="270">
        <f t="shared" si="94"/>
        <v>55374.064377910145</v>
      </c>
      <c r="BP34" s="159">
        <f t="shared" si="94"/>
        <v>40070.036213498424</v>
      </c>
      <c r="BQ34" s="159">
        <f t="shared" si="94"/>
        <v>44179.443533862359</v>
      </c>
      <c r="BR34" s="159">
        <f t="shared" si="94"/>
        <v>39308.656461100007</v>
      </c>
      <c r="BS34" s="159">
        <f t="shared" si="94"/>
        <v>45963.401795649159</v>
      </c>
      <c r="BT34" s="159">
        <f>SUM(BO34:BS34)</f>
        <v>224895.60238202009</v>
      </c>
    </row>
    <row r="35" spans="2:72" x14ac:dyDescent="0.3">
      <c r="D35" s="159"/>
      <c r="E35" s="159"/>
      <c r="F35" s="159"/>
      <c r="G35" s="271"/>
      <c r="H35" s="159"/>
      <c r="I35" s="159"/>
      <c r="J35" s="159"/>
      <c r="K35" s="159"/>
      <c r="L35" s="159"/>
      <c r="M35" s="159"/>
      <c r="N35" s="159"/>
      <c r="O35" s="159"/>
      <c r="P35" s="159"/>
      <c r="Q35" s="159"/>
      <c r="R35" s="159"/>
      <c r="S35" s="159"/>
      <c r="T35" s="159"/>
      <c r="U35" s="159"/>
      <c r="V35" s="159"/>
      <c r="W35" s="159"/>
      <c r="X35" s="159"/>
      <c r="Y35" s="159"/>
      <c r="Z35" s="159"/>
      <c r="AA35" s="271"/>
      <c r="AB35" s="159"/>
      <c r="AC35" s="159"/>
      <c r="AD35" s="159"/>
      <c r="AE35" s="159"/>
      <c r="AF35" s="159"/>
      <c r="AR35" s="159"/>
      <c r="AS35" s="159"/>
      <c r="AT35" s="159"/>
      <c r="AU35" s="271"/>
      <c r="AV35" s="159"/>
      <c r="AW35" s="159"/>
      <c r="AX35" s="159"/>
      <c r="AY35" s="159"/>
      <c r="AZ35" s="159"/>
    </row>
    <row r="36" spans="2:72" x14ac:dyDescent="0.3">
      <c r="B36" s="2"/>
      <c r="C36" s="1" t="s">
        <v>10</v>
      </c>
      <c r="D36" s="159">
        <f>SUMIFS(Augmentation!CQ$6:CQ$36,Augmentation!$G$6:$G$36,$C36)+SUMIFS(Major_Rebuilds!CQ$6:CQ$36,Major_Rebuilds!$G$6:$G$36,$C36)+SUMIFS(Stations!DF$7:DF$38,Stations!$G$7:$G$38,$C36)+SUMIFS(Lines!DF$7:DF$37,Lines!$G$7:$G$37,$C36)+SUMIFS('PC&amp;A'!CQ$6:CQ$36,'PC&amp;A'!$G$6:$G$36,$C36)+SUMIFS('SCADA&amp;Comms'!CQ$6:CQ$36,'SCADA&amp;Comms'!$G$6:$G$36,$C36)+SUMIFS(REFCL!CQ$6:CQ$36,REFCL!$G$6:$G$36,$C36)+SUMIFS(ESL_1!DF$7:DF$37,ESL_1!$G$7:$G$37,$C36)+SUMIFS(ESL_2!CQ$6:CQ$36,ESL_2!$G$6:$G$36,$C36)+SUMIFS(ESL_2!CQ$42:CQ$44,ESL_2!$G$42:$G$44,$C36)+SUMIFS(ICT!BC$6:BC$36,ICT!$G$6:$G$36,$C36)</f>
        <v>0</v>
      </c>
      <c r="E36" s="159">
        <f>SUMIFS(Augmentation!CR$6:CR$36,Augmentation!$G$6:$G$36,$C36)+SUMIFS(Major_Rebuilds!CR$6:CR$36,Major_Rebuilds!$G$6:$G$36,$C36)+SUMIFS(Stations!DG$7:DG$38,Stations!$G$7:$G$38,$C36)+SUMIFS(Lines!DG$7:DG$37,Lines!$G$7:$G$37,$C36)+SUMIFS('PC&amp;A'!CR$6:CR$36,'PC&amp;A'!$G$6:$G$36,$C36)+SUMIFS('SCADA&amp;Comms'!CR$6:CR$36,'SCADA&amp;Comms'!$G$6:$G$36,$C36)+SUMIFS(REFCL!CR$6:CR$36,REFCL!$G$6:$G$36,$C36)+SUMIFS(ESL_1!DG$7:DG$37,ESL_1!$G$7:$G$37,$C36)+SUMIFS(ESL_2!CR$6:CR$36,ESL_2!$G$6:$G$36,$C36)+SUMIFS(ESL_2!CR$42:CR$44,ESL_2!$G$42:$G$44,$C36)+SUMIFS(ICT!BD$6:BD$36,ICT!$G$6:$G$36,$C36)</f>
        <v>0</v>
      </c>
      <c r="F36" s="159">
        <f>SUMIFS(Augmentation!CS$6:CS$36,Augmentation!$G$6:$G$36,$C36)+SUMIFS(Major_Rebuilds!CS$6:CS$36,Major_Rebuilds!$G$6:$G$36,$C36)+SUMIFS(Stations!DH$7:DH$38,Stations!$G$7:$G$38,$C36)+SUMIFS(Lines!DH$7:DH$37,Lines!$G$7:$G$37,$C36)+SUMIFS('PC&amp;A'!CS$6:CS$36,'PC&amp;A'!$G$6:$G$36,$C36)+SUMIFS('SCADA&amp;Comms'!CS$6:CS$36,'SCADA&amp;Comms'!$G$6:$G$36,$C36)+SUMIFS(REFCL!CS$6:CS$36,REFCL!$G$6:$G$36,$C36)+SUMIFS(ESL_1!DH$7:DH$37,ESL_1!$G$7:$G$37,$C36)+SUMIFS(ESL_2!CS$6:CS$36,ESL_2!$G$6:$G$36,$C36)+SUMIFS(ESL_2!CS$42:CS$44,ESL_2!$G$42:$G$44,$C36)+SUMIFS(ICT!BE$6:BE$36,ICT!$G$6:$G$36,$C36)</f>
        <v>0</v>
      </c>
      <c r="G36" s="159">
        <f>SUMIFS(Augmentation!CT$6:CT$36,Augmentation!$G$6:$G$36,$C36)+SUMIFS(Major_Rebuilds!CT$6:CT$36,Major_Rebuilds!$G$6:$G$36,$C36)+SUMIFS(Stations!DI$7:DI$38,Stations!$G$7:$G$38,$C36)+SUMIFS(Lines!DI$7:DI$37,Lines!$G$7:$G$37,$C36)+SUMIFS('PC&amp;A'!CT$6:CT$36,'PC&amp;A'!$G$6:$G$36,$C36)+SUMIFS('SCADA&amp;Comms'!CT$6:CT$36,'SCADA&amp;Comms'!$G$6:$G$36,$C36)+SUMIFS(REFCL!CT$6:CT$36,REFCL!$G$6:$G$36,$C36)+SUMIFS(ESL_1!DI$7:DI$37,ESL_1!$G$7:$G$37,$C36)+SUMIFS(ESL_2!CT$6:CT$36,ESL_2!$G$6:$G$36,$C36)+SUMIFS(ESL_2!CT$42:CT$44,ESL_2!$G$42:$G$44,$C36)+SUMIFS(ICT!BF$6:BF$36,ICT!$G$6:$G$36,$C36)</f>
        <v>39898.785220600155</v>
      </c>
      <c r="H36" s="159">
        <f>SUMIFS(Augmentation!CU$6:CU$36,Augmentation!$G$6:$G$36,$C36)+SUMIFS(Major_Rebuilds!CU$6:CU$36,Major_Rebuilds!$G$6:$G$36,$C36)+SUMIFS(Stations!DJ$7:DJ$38,Stations!$G$7:$G$38,$C36)+SUMIFS(Lines!DJ$7:DJ$37,Lines!$G$7:$G$37,$C36)+SUMIFS('PC&amp;A'!CU$6:CU$36,'PC&amp;A'!$G$6:$G$36,$C36)+SUMIFS('SCADA&amp;Comms'!CU$6:CU$36,'SCADA&amp;Comms'!$G$6:$G$36,$C36)+SUMIFS(REFCL!CU$6:CU$36,REFCL!$G$6:$G$36,$C36)+SUMIFS(ESL_1!DJ$7:DJ$37,ESL_1!$G$7:$G$37,$C36)+SUMIFS(ESL_2!CU$6:CU$36,ESL_2!$G$6:$G$36,$C36)+SUMIFS(ESL_2!CU$42:CU$44,ESL_2!$G$42:$G$44,$C36)+SUMIFS(ICT!BG$6:BG$36,ICT!$G$6:$G$36,$C36)</f>
        <v>37844.471861559177</v>
      </c>
      <c r="I36" s="159">
        <f>SUMIFS(Augmentation!CV$6:CV$36,Augmentation!$G$6:$G$36,$C36)+SUMIFS(Major_Rebuilds!CV$6:CV$36,Major_Rebuilds!$G$6:$G$36,$C36)+SUMIFS(Stations!DK$7:DK$38,Stations!$G$7:$G$38,$C36)+SUMIFS(Lines!DK$7:DK$37,Lines!$G$7:$G$37,$C36)+SUMIFS('PC&amp;A'!CV$6:CV$36,'PC&amp;A'!$G$6:$G$36,$C36)+SUMIFS('SCADA&amp;Comms'!CV$6:CV$36,'SCADA&amp;Comms'!$G$6:$G$36,$C36)+SUMIFS(REFCL!CV$6:CV$36,REFCL!$G$6:$G$36,$C36)+SUMIFS(ESL_1!DK$7:DK$37,ESL_1!$G$7:$G$37,$C36)+SUMIFS(ESL_2!CV$6:CV$36,ESL_2!$G$6:$G$36,$C36)+SUMIFS(ESL_2!CV$42:CV$44,ESL_2!$G$42:$G$44,$C36)+SUMIFS(ICT!BH$6:BH$36,ICT!$G$6:$G$36,$C36)</f>
        <v>35809.356348725458</v>
      </c>
      <c r="J36" s="159">
        <f>SUMIFS(Augmentation!CW$6:CW$36,Augmentation!$G$6:$G$36,$C36)+SUMIFS(Major_Rebuilds!CW$6:CW$36,Major_Rebuilds!$G$6:$G$36,$C36)+SUMIFS(Stations!DL$7:DL$38,Stations!$G$7:$G$38,$C36)+SUMIFS(Lines!DL$7:DL$37,Lines!$G$7:$G$37,$C36)+SUMIFS('PC&amp;A'!CW$6:CW$36,'PC&amp;A'!$G$6:$G$36,$C36)+SUMIFS('SCADA&amp;Comms'!CW$6:CW$36,'SCADA&amp;Comms'!$G$6:$G$36,$C36)+SUMIFS(REFCL!CW$6:CW$36,REFCL!$G$6:$G$36,$C36)+SUMIFS(ESL_1!DL$7:DL$37,ESL_1!$G$7:$G$37,$C36)+SUMIFS(ESL_2!CW$6:CW$36,ESL_2!$G$6:$G$36,$C36)+SUMIFS(ESL_2!CW$42:CW$44,ESL_2!$G$42:$G$44,$C36)+SUMIFS(ICT!BI$6:BI$36,ICT!$G$6:$G$36,$C36)</f>
        <v>41229.918703158466</v>
      </c>
      <c r="K36" s="159">
        <f>SUMIFS(Augmentation!CX$6:CX$36,Augmentation!$G$6:$G$36,$C36)+SUMIFS(Major_Rebuilds!CX$6:CX$36,Major_Rebuilds!$G$6:$G$36,$C36)+SUMIFS(Stations!DM$7:DM$38,Stations!$G$7:$G$38,$C36)+SUMIFS(Lines!DM$7:DM$37,Lines!$G$7:$G$37,$C36)+SUMIFS('PC&amp;A'!CX$6:CX$36,'PC&amp;A'!$G$6:$G$36,$C36)+SUMIFS('SCADA&amp;Comms'!CX$6:CX$36,'SCADA&amp;Comms'!$G$6:$G$36,$C36)+SUMIFS(REFCL!CX$6:CX$36,REFCL!$G$6:$G$36,$C36)+SUMIFS(ESL_1!DM$7:DM$37,ESL_1!$G$7:$G$37,$C36)+SUMIFS(ESL_2!CX$6:CX$36,ESL_2!$G$6:$G$36,$C36)+SUMIFS(ESL_2!CX$42:CX$44,ESL_2!$G$42:$G$44,$C36)+SUMIFS(ICT!BJ$6:BJ$36,ICT!$G$6:$G$36,$C36)</f>
        <v>43586.571929919221</v>
      </c>
      <c r="L36" s="159">
        <f t="shared" ref="L36:L39" si="96">SUM(G36:K36)</f>
        <v>198369.10406396247</v>
      </c>
      <c r="N36" s="39">
        <f>SUMIFS(Augmentation!J$6:J$36,Augmentation!$G$6:$G$36,$C36)+SUMIFS(Major_Rebuilds!J$6:J$36,Major_Rebuilds!$G$6:$G$36,$C36)+SUMIFS(Stations!T$7:T$38,Stations!$G$7:$G$38,$C36)+SUMIFS(Lines!T$7:T$37,Lines!$G$7:$G$37,$C36)+SUMIFS('PC&amp;A'!J$6:J$36,'PC&amp;A'!$G$6:$G$36,$C36)+SUMIFS('SCADA&amp;Comms'!J$6:J$36,'SCADA&amp;Comms'!$G$6:$G$36,$C36)+SUMIFS(REFCL!J$6:J$36,REFCL!$G$6:$G$36,$C36)+SUMIFS(ESL_1!T$7:T$37,ESL_1!$G$7:$G$37,$C36)+SUMIFS(ESL_2!J$6:J$36,ESL_2!$G$6:$G$36,$C36)+SUMIFS(ESL_2!J$42:J$44,ESL_2!$G$42:$G$44,$C36)+SUMIFS(ICT!J$6:J$36,ICT!$G$6:$G$36,$C36)</f>
        <v>0</v>
      </c>
      <c r="O36" s="39">
        <f>SUMIFS(Augmentation!K$6:K$36,Augmentation!$G$6:$G$36,$C36)+SUMIFS(Major_Rebuilds!K$6:K$36,Major_Rebuilds!$G$6:$G$36,$C36)+SUMIFS(Stations!U$7:U$38,Stations!$G$7:$G$38,$C36)+SUMIFS(Lines!U$7:U$37,Lines!$G$7:$G$37,$C36)+SUMIFS('PC&amp;A'!K$6:K$36,'PC&amp;A'!$G$6:$G$36,$C36)+SUMIFS('SCADA&amp;Comms'!K$6:K$36,'SCADA&amp;Comms'!$G$6:$G$36,$C36)+SUMIFS(REFCL!K$6:K$36,REFCL!$G$6:$G$36,$C36)+SUMIFS(ESL_1!U$7:U$37,ESL_1!$G$7:$G$37,$C36)+SUMIFS(ESL_2!K$6:K$36,ESL_2!$G$6:$G$36,$C36)+SUMIFS(ESL_2!K$42:K$44,ESL_2!$G$42:$G$44,$C36)+SUMIFS(ICT!K$6:K$36,ICT!$G$6:$G$36,$C36)</f>
        <v>0</v>
      </c>
      <c r="P36" s="39">
        <f>SUMIFS(Augmentation!L$6:L$36,Augmentation!$G$6:$G$36,$C36)+SUMIFS(Major_Rebuilds!L$6:L$36,Major_Rebuilds!$G$6:$G$36,$C36)+SUMIFS(Stations!V$7:V$38,Stations!$G$7:$G$38,$C36)+SUMIFS(Lines!V$7:V$37,Lines!$G$7:$G$37,$C36)+SUMIFS('PC&amp;A'!L$6:L$36,'PC&amp;A'!$G$6:$G$36,$C36)+SUMIFS('SCADA&amp;Comms'!L$6:L$36,'SCADA&amp;Comms'!$G$6:$G$36,$C36)+SUMIFS(REFCL!L$6:L$36,REFCL!$G$6:$G$36,$C36)+SUMIFS(ESL_1!V$7:V$37,ESL_1!$G$7:$G$37,$C36)+SUMIFS(ESL_2!L$6:L$36,ESL_2!$G$6:$G$36,$C36)+SUMIFS(ESL_2!L$42:L$44,ESL_2!$G$42:$G$44,$C36)+SUMIFS(ICT!L$6:L$36,ICT!$G$6:$G$36,$C36)</f>
        <v>0</v>
      </c>
      <c r="Q36" s="39">
        <f>SUMIFS(Augmentation!M$6:M$36,Augmentation!$G$6:$G$36,$C36)+SUMIFS(Major_Rebuilds!M$6:M$36,Major_Rebuilds!$G$6:$G$36,$C36)+SUMIFS(Stations!W$7:W$38,Stations!$G$7:$G$38,$C36)+SUMIFS(Lines!W$7:W$37,Lines!$G$7:$G$37,$C36)+SUMIFS('PC&amp;A'!M$6:M$36,'PC&amp;A'!$G$6:$G$36,$C36)+SUMIFS('SCADA&amp;Comms'!M$6:M$36,'SCADA&amp;Comms'!$G$6:$G$36,$C36)+SUMIFS(REFCL!M$6:M$36,REFCL!$G$6:$G$36,$C36)+SUMIFS(ESL_1!W$7:W$37,ESL_1!$G$7:$G$37,$C36)+SUMIFS(ESL_2!M$6:M$36,ESL_2!$G$6:$G$36,$C36)+SUMIFS(ESL_2!M$42:M$44,ESL_2!$G$42:$G$44,$C36)+SUMIFS(ICT!M$6:M$36,ICT!$G$6:$G$36,$C36)</f>
        <v>39273.48087732213</v>
      </c>
      <c r="R36" s="39">
        <f>SUMIFS(Augmentation!N$6:N$36,Augmentation!$G$6:$G$36,$C36)+SUMIFS(Major_Rebuilds!N$6:N$36,Major_Rebuilds!$G$6:$G$36,$C36)+SUMIFS(Stations!X$7:X$38,Stations!$G$7:$G$38,$C36)+SUMIFS(Lines!X$7:X$37,Lines!$G$7:$G$37,$C36)+SUMIFS('PC&amp;A'!N$6:N$36,'PC&amp;A'!$G$6:$G$36,$C36)+SUMIFS('SCADA&amp;Comms'!N$6:N$36,'SCADA&amp;Comms'!$G$6:$G$36,$C36)+SUMIFS(REFCL!N$6:N$36,REFCL!$G$6:$G$36,$C36)+SUMIFS(ESL_1!X$7:X$37,ESL_1!$G$7:$G$37,$C36)+SUMIFS(ESL_2!N$6:N$36,ESL_2!$G$6:$G$36,$C36)+SUMIFS(ESL_2!N$42:N$44,ESL_2!$G$42:$G$44,$C36)+SUMIFS(ICT!N$6:N$36,ICT!$G$6:$G$36,$C36)</f>
        <v>36969.101832577013</v>
      </c>
      <c r="S36" s="39">
        <f>SUMIFS(Augmentation!O$6:O$36,Augmentation!$G$6:$G$36,$C36)+SUMIFS(Major_Rebuilds!O$6:O$36,Major_Rebuilds!$G$6:$G$36,$C36)+SUMIFS(Stations!Y$7:Y$38,Stations!$G$7:$G$38,$C36)+SUMIFS(Lines!Y$7:Y$37,Lines!$G$7:$G$37,$C36)+SUMIFS('PC&amp;A'!O$6:O$36,'PC&amp;A'!$G$6:$G$36,$C36)+SUMIFS('SCADA&amp;Comms'!O$6:O$36,'SCADA&amp;Comms'!$G$6:$G$36,$C36)+SUMIFS(REFCL!O$6:O$36,REFCL!$G$6:$G$36,$C36)+SUMIFS(ESL_1!Y$7:Y$37,ESL_1!$G$7:$G$37,$C36)+SUMIFS(ESL_2!O$6:O$36,ESL_2!$G$6:$G$36,$C36)+SUMIFS(ESL_2!O$42:O$44,ESL_2!$G$42:$G$44,$C36)+SUMIFS(ICT!O$6:O$36,ICT!$G$6:$G$36,$C36)</f>
        <v>34713.447362067505</v>
      </c>
      <c r="T36" s="39">
        <f>SUMIFS(Augmentation!P$6:P$36,Augmentation!$G$6:$G$36,$C36)+SUMIFS(Major_Rebuilds!P$6:P$36,Major_Rebuilds!$G$6:$G$36,$C36)+SUMIFS(Stations!Z$7:Z$38,Stations!$G$7:$G$38,$C36)+SUMIFS(Lines!Z$7:Z$37,Lines!$G$7:$G$37,$C36)+SUMIFS('PC&amp;A'!P$6:P$36,'PC&amp;A'!$G$6:$G$36,$C36)+SUMIFS('SCADA&amp;Comms'!P$6:P$36,'SCADA&amp;Comms'!$G$6:$G$36,$C36)+SUMIFS(REFCL!P$6:P$36,REFCL!$G$6:$G$36,$C36)+SUMIFS(ESL_1!Z$7:Z$37,ESL_1!$G$7:$G$37,$C36)+SUMIFS(ESL_2!P$6:P$36,ESL_2!$G$6:$G$36,$C36)+SUMIFS(ESL_2!P$42:P$44,ESL_2!$G$42:$G$44,$C36)+SUMIFS(ICT!P$6:P$36,ICT!$G$6:$G$36,$C36)</f>
        <v>39746.917857756962</v>
      </c>
      <c r="U36" s="39">
        <f>SUMIFS(Augmentation!Q$6:Q$36,Augmentation!$G$6:$G$36,$C36)+SUMIFS(Major_Rebuilds!Q$6:Q$36,Major_Rebuilds!$G$6:$G$36,$C36)+SUMIFS(Stations!AA$7:AA$38,Stations!$G$7:$G$38,$C36)+SUMIFS(Lines!AA$7:AA$37,Lines!$G$7:$G$37,$C36)+SUMIFS('PC&amp;A'!Q$6:Q$36,'PC&amp;A'!$G$6:$G$36,$C36)+SUMIFS('SCADA&amp;Comms'!Q$6:Q$36,'SCADA&amp;Comms'!$G$6:$G$36,$C36)+SUMIFS(REFCL!Q$6:Q$36,REFCL!$G$6:$G$36,$C36)+SUMIFS(ESL_1!AA$7:AA$37,ESL_1!$G$7:$G$37,$C36)+SUMIFS(ESL_2!Q$6:Q$36,ESL_2!$G$6:$G$36,$C36)+SUMIFS(ESL_2!Q$42:Q$44,ESL_2!$G$42:$G$44,$C36)+SUMIFS(ICT!Q$6:Q$36,ICT!$G$6:$G$36,$C36)</f>
        <v>41801.453751497334</v>
      </c>
      <c r="V36" s="159">
        <f t="shared" ref="V36:V39" si="97">SUM(Q36:U36)</f>
        <v>192504.40168122092</v>
      </c>
      <c r="AZ36" s="305" t="s">
        <v>509</v>
      </c>
      <c r="BA36" s="306"/>
      <c r="BB36" s="29">
        <f>CP_Yr_4</f>
        <v>43800</v>
      </c>
      <c r="BC36" s="29">
        <f>CP_Yr_5</f>
        <v>44166</v>
      </c>
      <c r="BD36" s="29">
        <f>Stub</f>
        <v>44377</v>
      </c>
      <c r="BE36" s="29">
        <f>Yr_1</f>
        <v>44742</v>
      </c>
      <c r="BF36" s="29">
        <f>Yr_2</f>
        <v>45107</v>
      </c>
      <c r="BG36" s="29">
        <f>Yr_3</f>
        <v>45473</v>
      </c>
      <c r="BH36" s="29">
        <f>Yr_4</f>
        <v>45838</v>
      </c>
      <c r="BI36" s="29">
        <f>Yr_5</f>
        <v>46203</v>
      </c>
    </row>
    <row r="37" spans="2:72" x14ac:dyDescent="0.3">
      <c r="C37" s="1" t="s">
        <v>150</v>
      </c>
      <c r="D37" s="159">
        <f>SUMIFS(Augmentation!CQ$6:CQ$36,Augmentation!$G$6:$G$36,$C37)+SUMIFS(Major_Rebuilds!CQ$6:CQ$36,Major_Rebuilds!$G$6:$G$36,$C37)+SUMIFS(Stations!DF$7:DF$38,Stations!$G$7:$G$38,$C37)+SUMIFS(Lines!DF$7:DF$37,Lines!$G$7:$G$37,$C37)+SUMIFS('PC&amp;A'!CQ$6:CQ$36,'PC&amp;A'!$G$6:$G$36,$C37)+SUMIFS('SCADA&amp;Comms'!CQ$6:CQ$36,'SCADA&amp;Comms'!$G$6:$G$36,$C37)+SUMIFS(REFCL!CQ$6:CQ$36,REFCL!$G$6:$G$36,$C37)+SUMIFS(ESL_1!DF$7:DF$37,ESL_1!$G$7:$G$37,$C37)+SUMIFS(ESL_2!CQ$6:CQ$36,ESL_2!$G$6:$G$36,$C37)+SUMIFS(ESL_2!CQ$42:CQ$44,ESL_2!$G$42:$G$44,$C37)+SUMIFS(Metering_SCS!BC$6:BC$36,Metering_SCS!$G$6:$G$36,$C37)</f>
        <v>0</v>
      </c>
      <c r="E37" s="159">
        <f>SUMIFS(Augmentation!CR$6:CR$36,Augmentation!$G$6:$G$36,$C37)+SUMIFS(Major_Rebuilds!CR$6:CR$36,Major_Rebuilds!$G$6:$G$36,$C37)+SUMIFS(Stations!DG$7:DG$38,Stations!$G$7:$G$38,$C37)+SUMIFS(Lines!DG$7:DG$37,Lines!$G$7:$G$37,$C37)+SUMIFS('PC&amp;A'!CR$6:CR$36,'PC&amp;A'!$G$6:$G$36,$C37)+SUMIFS('SCADA&amp;Comms'!CR$6:CR$36,'SCADA&amp;Comms'!$G$6:$G$36,$C37)+SUMIFS(REFCL!CR$6:CR$36,REFCL!$G$6:$G$36,$C37)+SUMIFS(ESL_1!DG$7:DG$37,ESL_1!$G$7:$G$37,$C37)+SUMIFS(ESL_2!CR$6:CR$36,ESL_2!$G$6:$G$36,$C37)+SUMIFS(ESL_2!CR$42:CR$44,ESL_2!$G$42:$G$44,$C37)+SUMIFS(Metering_SCS!BD$6:BD$36,Metering_SCS!$G$6:$G$36,$C37)</f>
        <v>1083.7583951178297</v>
      </c>
      <c r="F37" s="159">
        <f>SUMIFS(Augmentation!CS$6:CS$36,Augmentation!$G$6:$G$36,$C37)+SUMIFS(Major_Rebuilds!CS$6:CS$36,Major_Rebuilds!$G$6:$G$36,$C37)+SUMIFS(Stations!DH$7:DH$38,Stations!$G$7:$G$38,$C37)+SUMIFS(Lines!DH$7:DH$37,Lines!$G$7:$G$37,$C37)+SUMIFS('PC&amp;A'!CS$6:CS$36,'PC&amp;A'!$G$6:$G$36,$C37)+SUMIFS('SCADA&amp;Comms'!CS$6:CS$36,'SCADA&amp;Comms'!$G$6:$G$36,$C37)+SUMIFS(REFCL!CS$6:CS$36,REFCL!$G$6:$G$36,$C37)+SUMIFS(ESL_1!DH$7:DH$37,ESL_1!$G$7:$G$37,$C37)+SUMIFS(ESL_2!CS$6:CS$36,ESL_2!$G$6:$G$36,$C37)+SUMIFS(ESL_2!CS$42:CS$44,ESL_2!$G$42:$G$44,$C37)+SUMIFS(Metering_SCS!BE$6:BE$36,Metering_SCS!$G$6:$G$36,$C37)</f>
        <v>10215.669988563352</v>
      </c>
      <c r="G37" s="159">
        <f>SUMIFS(Augmentation!CT$6:CT$36,Augmentation!$G$6:$G$36,$C37)+SUMIFS(Major_Rebuilds!CT$6:CT$36,Major_Rebuilds!$G$6:$G$36,$C37)+SUMIFS(Stations!DI$7:DI$38,Stations!$G$7:$G$38,$C37)+SUMIFS(Lines!DI$7:DI$37,Lines!$G$7:$G$37,$C37)+SUMIFS('PC&amp;A'!CT$6:CT$36,'PC&amp;A'!$G$6:$G$36,$C37)+SUMIFS('SCADA&amp;Comms'!CT$6:CT$36,'SCADA&amp;Comms'!$G$6:$G$36,$C37)+SUMIFS(REFCL!CT$6:CT$36,REFCL!$G$6:$G$36,$C37)+SUMIFS(ESL_1!DI$7:DI$37,ESL_1!$G$7:$G$37,$C37)+SUMIFS(ESL_2!CT$6:CT$36,ESL_2!$G$6:$G$36,$C37)+SUMIFS(ESL_2!CT$42:CT$44,ESL_2!$G$42:$G$44,$C37)+SUMIFS(Metering_SCS!BF$6:BF$36,Metering_SCS!$G$6:$G$36,$C37)</f>
        <v>42088.327766489485</v>
      </c>
      <c r="H37" s="159">
        <f>SUMIFS(Augmentation!CU$6:CU$36,Augmentation!$G$6:$G$36,$C37)+SUMIFS(Major_Rebuilds!CU$6:CU$36,Major_Rebuilds!$G$6:$G$36,$C37)+SUMIFS(Stations!DJ$7:DJ$38,Stations!$G$7:$G$38,$C37)+SUMIFS(Lines!DJ$7:DJ$37,Lines!$G$7:$G$37,$C37)+SUMIFS('PC&amp;A'!CU$6:CU$36,'PC&amp;A'!$G$6:$G$36,$C37)+SUMIFS('SCADA&amp;Comms'!CU$6:CU$36,'SCADA&amp;Comms'!$G$6:$G$36,$C37)+SUMIFS(REFCL!CU$6:CU$36,REFCL!$G$6:$G$36,$C37)+SUMIFS(ESL_1!DJ$7:DJ$37,ESL_1!$G$7:$G$37,$C37)+SUMIFS(ESL_2!CU$6:CU$36,ESL_2!$G$6:$G$36,$C37)+SUMIFS(ESL_2!CU$42:CU$44,ESL_2!$G$42:$G$44,$C37)+SUMIFS(Metering_SCS!BG$6:BG$36,Metering_SCS!$G$6:$G$36,$C37)</f>
        <v>42964.73401108956</v>
      </c>
      <c r="I37" s="159">
        <f>SUMIFS(Augmentation!CV$6:CV$36,Augmentation!$G$6:$G$36,$C37)+SUMIFS(Major_Rebuilds!CV$6:CV$36,Major_Rebuilds!$G$6:$G$36,$C37)+SUMIFS(Stations!DK$7:DK$38,Stations!$G$7:$G$38,$C37)+SUMIFS(Lines!DK$7:DK$37,Lines!$G$7:$G$37,$C37)+SUMIFS('PC&amp;A'!CV$6:CV$36,'PC&amp;A'!$G$6:$G$36,$C37)+SUMIFS('SCADA&amp;Comms'!CV$6:CV$36,'SCADA&amp;Comms'!$G$6:$G$36,$C37)+SUMIFS(REFCL!CV$6:CV$36,REFCL!$G$6:$G$36,$C37)+SUMIFS(ESL_1!DK$7:DK$37,ESL_1!$G$7:$G$37,$C37)+SUMIFS(ESL_2!CV$6:CV$36,ESL_2!$G$6:$G$36,$C37)+SUMIFS(ESL_2!CV$42:CV$44,ESL_2!$G$42:$G$44,$C37)+SUMIFS(Metering_SCS!BH$6:BH$36,Metering_SCS!$G$6:$G$36,$C37)</f>
        <v>36614.057149947897</v>
      </c>
      <c r="J37" s="159">
        <f>SUMIFS(Augmentation!CW$6:CW$36,Augmentation!$G$6:$G$36,$C37)+SUMIFS(Major_Rebuilds!CW$6:CW$36,Major_Rebuilds!$G$6:$G$36,$C37)+SUMIFS(Stations!DL$7:DL$38,Stations!$G$7:$G$38,$C37)+SUMIFS(Lines!DL$7:DL$37,Lines!$G$7:$G$37,$C37)+SUMIFS('PC&amp;A'!CW$6:CW$36,'PC&amp;A'!$G$6:$G$36,$C37)+SUMIFS('SCADA&amp;Comms'!CW$6:CW$36,'SCADA&amp;Comms'!$G$6:$G$36,$C37)+SUMIFS(REFCL!CW$6:CW$36,REFCL!$G$6:$G$36,$C37)+SUMIFS(ESL_1!DL$7:DL$37,ESL_1!$G$7:$G$37,$C37)+SUMIFS(ESL_2!CW$6:CW$36,ESL_2!$G$6:$G$36,$C37)+SUMIFS(ESL_2!CW$42:CW$44,ESL_2!$G$42:$G$44,$C37)+SUMIFS(Metering_SCS!BI$6:BI$36,Metering_SCS!$G$6:$G$36,$C37)</f>
        <v>22178.238027892596</v>
      </c>
      <c r="K37" s="159">
        <f>SUMIFS(Augmentation!CX$6:CX$36,Augmentation!$G$6:$G$36,$C37)+SUMIFS(Major_Rebuilds!CX$6:CX$36,Major_Rebuilds!$G$6:$G$36,$C37)+SUMIFS(Stations!DM$7:DM$38,Stations!$G$7:$G$38,$C37)+SUMIFS(Lines!DM$7:DM$37,Lines!$G$7:$G$37,$C37)+SUMIFS('PC&amp;A'!CX$6:CX$36,'PC&amp;A'!$G$6:$G$36,$C37)+SUMIFS('SCADA&amp;Comms'!CX$6:CX$36,'SCADA&amp;Comms'!$G$6:$G$36,$C37)+SUMIFS(REFCL!CX$6:CX$36,REFCL!$G$6:$G$36,$C37)+SUMIFS(ESL_1!DM$7:DM$37,ESL_1!$G$7:$G$37,$C37)+SUMIFS(ESL_2!CX$6:CX$36,ESL_2!$G$6:$G$36,$C37)+SUMIFS(ESL_2!CX$42:CX$44,ESL_2!$G$42:$G$44,$C37)+SUMIFS(Metering_SCS!BJ$6:BJ$36,Metering_SCS!$G$6:$G$36,$C37)</f>
        <v>12648.243847114591</v>
      </c>
      <c r="L37" s="159">
        <f t="shared" si="96"/>
        <v>156493.60080253411</v>
      </c>
      <c r="N37" s="39">
        <f>SUMIFS(Augmentation!J$6:J$36,Augmentation!$G$6:$G$36,$C37)+SUMIFS(Major_Rebuilds!J$6:J$36,Major_Rebuilds!$G$6:$G$36,$C37)+SUMIFS(Stations!T$7:T$38,Stations!$G$7:$G$38,$C37)+SUMIFS(Lines!T$7:T$37,Lines!$G$7:$G$37,$C37)+SUMIFS('PC&amp;A'!J$6:J$36,'PC&amp;A'!$G$6:$G$36,$C37)+SUMIFS('SCADA&amp;Comms'!J$6:J$36,'SCADA&amp;Comms'!$G$6:$G$36,$C37)+SUMIFS(REFCL!J$6:J$36,REFCL!$G$6:$G$36,$C37)+SUMIFS(ESL_1!T$7:T$37,ESL_1!$G$7:$G$37,$C37)+SUMIFS(ESL_2!J$6:J$36,ESL_2!$G$6:$G$36,$C37)+SUMIFS(ESL_2!J$42:J$44,ESL_2!$G$42:$G$44,$C37)+SUMIFS(Metering_SCS!J$6:J$36,Metering_SCS!$G$6:$G$36,$C37)</f>
        <v>0</v>
      </c>
      <c r="O37" s="39">
        <f>SUMIFS(Augmentation!K$6:K$36,Augmentation!$G$6:$G$36,$C37)+SUMIFS(Major_Rebuilds!K$6:K$36,Major_Rebuilds!$G$6:$G$36,$C37)+SUMIFS(Stations!U$7:U$38,Stations!$G$7:$G$38,$C37)+SUMIFS(Lines!U$7:U$37,Lines!$G$7:$G$37,$C37)+SUMIFS('PC&amp;A'!K$6:K$36,'PC&amp;A'!$G$6:$G$36,$C37)+SUMIFS('SCADA&amp;Comms'!K$6:K$36,'SCADA&amp;Comms'!$G$6:$G$36,$C37)+SUMIFS(REFCL!K$6:K$36,REFCL!$G$6:$G$36,$C37)+SUMIFS(ESL_1!U$7:U$37,ESL_1!$G$7:$G$37,$C37)+SUMIFS(ESL_2!K$6:K$36,ESL_2!$G$6:$G$36,$C37)+SUMIFS(ESL_2!K$42:K$44,ESL_2!$G$42:$G$44,$C37)+SUMIFS(Metering_SCS!K$6:K$36,Metering_SCS!$G$6:$G$36,$C37)</f>
        <v>1070</v>
      </c>
      <c r="P37" s="39">
        <f>SUMIFS(Augmentation!L$6:L$36,Augmentation!$G$6:$G$36,$C37)+SUMIFS(Major_Rebuilds!L$6:L$36,Major_Rebuilds!$G$6:$G$36,$C37)+SUMIFS(Stations!V$7:V$38,Stations!$G$7:$G$38,$C37)+SUMIFS(Lines!V$7:V$37,Lines!$G$7:$G$37,$C37)+SUMIFS('PC&amp;A'!L$6:L$36,'PC&amp;A'!$G$6:$G$36,$C37)+SUMIFS('SCADA&amp;Comms'!L$6:L$36,'SCADA&amp;Comms'!$G$6:$G$36,$C37)+SUMIFS(REFCL!L$6:L$36,REFCL!$G$6:$G$36,$C37)+SUMIFS(ESL_1!V$7:V$37,ESL_1!$G$7:$G$37,$C37)+SUMIFS(ESL_2!L$6:L$36,ESL_2!$G$6:$G$36,$C37)+SUMIFS(ESL_2!L$42:L$44,ESL_2!$G$42:$G$44,$C37)+SUMIFS(Metering_SCS!L$6:L$36,Metering_SCS!$G$6:$G$36,$C37)</f>
        <v>10141.486946890469</v>
      </c>
      <c r="Q37" s="39">
        <f>SUMIFS(Augmentation!M$6:M$36,Augmentation!$G$6:$G$36,$C37)+SUMIFS(Major_Rebuilds!M$6:M$36,Major_Rebuilds!$G$6:$G$36,$C37)+SUMIFS(Stations!W$7:W$38,Stations!$G$7:$G$38,$C37)+SUMIFS(Lines!W$7:W$37,Lines!$G$7:$G$37,$C37)+SUMIFS('PC&amp;A'!M$6:M$36,'PC&amp;A'!$G$6:$G$36,$C37)+SUMIFS('SCADA&amp;Comms'!M$6:M$36,'SCADA&amp;Comms'!$G$6:$G$36,$C37)+SUMIFS(REFCL!M$6:M$36,REFCL!$G$6:$G$36,$C37)+SUMIFS(ESL_1!W$7:W$37,ESL_1!$G$7:$G$37,$C37)+SUMIFS(ESL_2!M$6:M$36,ESL_2!$G$6:$G$36,$C37)+SUMIFS(ESL_2!M$42:M$44,ESL_2!$G$42:$G$44,$C37)+SUMIFS(Metering_SCS!M$6:M$36,Metering_SCS!$G$6:$G$36,$C37)</f>
        <v>41286.734675023501</v>
      </c>
      <c r="R37" s="39">
        <f>SUMIFS(Augmentation!N$6:N$36,Augmentation!$G$6:$G$36,$C37)+SUMIFS(Major_Rebuilds!N$6:N$36,Major_Rebuilds!$G$6:$G$36,$C37)+SUMIFS(Stations!X$7:X$38,Stations!$G$7:$G$38,$C37)+SUMIFS(Lines!X$7:X$37,Lines!$G$7:$G$37,$C37)+SUMIFS('PC&amp;A'!N$6:N$36,'PC&amp;A'!$G$6:$G$36,$C37)+SUMIFS('SCADA&amp;Comms'!N$6:N$36,'SCADA&amp;Comms'!$G$6:$G$36,$C37)+SUMIFS(REFCL!N$6:N$36,REFCL!$G$6:$G$36,$C37)+SUMIFS(ESL_1!X$7:X$37,ESL_1!$G$7:$G$37,$C37)+SUMIFS(ESL_2!N$6:N$36,ESL_2!$G$6:$G$36,$C37)+SUMIFS(ESL_2!N$42:N$44,ESL_2!$G$42:$G$44,$C37)+SUMIFS(Metering_SCS!N$6:N$36,Metering_SCS!$G$6:$G$36,$C37)</f>
        <v>41782.163025207432</v>
      </c>
      <c r="S37" s="39">
        <f>SUMIFS(Augmentation!O$6:O$36,Augmentation!$G$6:$G$36,$C37)+SUMIFS(Major_Rebuilds!O$6:O$36,Major_Rebuilds!$G$6:$G$36,$C37)+SUMIFS(Stations!Y$7:Y$38,Stations!$G$7:$G$38,$C37)+SUMIFS(Lines!Y$7:Y$37,Lines!$G$7:$G$37,$C37)+SUMIFS('PC&amp;A'!O$6:O$36,'PC&amp;A'!$G$6:$G$36,$C37)+SUMIFS('SCADA&amp;Comms'!O$6:O$36,'SCADA&amp;Comms'!$G$6:$G$36,$C37)+SUMIFS(REFCL!O$6:O$36,REFCL!$G$6:$G$36,$C37)+SUMIFS(ESL_1!Y$7:Y$37,ESL_1!$G$7:$G$37,$C37)+SUMIFS(ESL_2!O$6:O$36,ESL_2!$G$6:$G$36,$C37)+SUMIFS(ESL_2!O$42:O$44,ESL_2!$G$42:$G$44,$C37)+SUMIFS(Metering_SCS!O$6:O$36,Metering_SCS!$G$6:$G$36,$C37)</f>
        <v>35358.041548104571</v>
      </c>
      <c r="T37" s="39">
        <f>SUMIFS(Augmentation!P$6:P$36,Augmentation!$G$6:$G$36,$C37)+SUMIFS(Major_Rebuilds!P$6:P$36,Major_Rebuilds!$G$6:$G$36,$C37)+SUMIFS(Stations!Z$7:Z$38,Stations!$G$7:$G$38,$C37)+SUMIFS(Lines!Z$7:Z$37,Lines!$G$7:$G$37,$C37)+SUMIFS('PC&amp;A'!P$6:P$36,'PC&amp;A'!$G$6:$G$36,$C37)+SUMIFS('SCADA&amp;Comms'!P$6:P$36,'SCADA&amp;Comms'!$G$6:$G$36,$C37)+SUMIFS(REFCL!P$6:P$36,REFCL!$G$6:$G$36,$C37)+SUMIFS(ESL_1!Z$7:Z$37,ESL_1!$G$7:$G$37,$C37)+SUMIFS(ESL_2!P$6:P$36,ESL_2!$G$6:$G$36,$C37)+SUMIFS(ESL_2!P$42:P$44,ESL_2!$G$42:$G$44,$C37)+SUMIFS(Metering_SCS!P$6:P$36,Metering_SCS!$G$6:$G$36,$C37)</f>
        <v>21324.056069052283</v>
      </c>
      <c r="U37" s="39">
        <f>SUMIFS(Augmentation!Q$6:Q$36,Augmentation!$G$6:$G$36,$C37)+SUMIFS(Major_Rebuilds!Q$6:Q$36,Major_Rebuilds!$G$6:$G$36,$C37)+SUMIFS(Stations!AA$7:AA$38,Stations!$G$7:$G$38,$C37)+SUMIFS(Lines!AA$7:AA$37,Lines!$G$7:$G$37,$C37)+SUMIFS('PC&amp;A'!Q$6:Q$36,'PC&amp;A'!$G$6:$G$36,$C37)+SUMIFS('SCADA&amp;Comms'!Q$6:Q$36,'SCADA&amp;Comms'!$G$6:$G$36,$C37)+SUMIFS(REFCL!Q$6:Q$36,REFCL!$G$6:$G$36,$C37)+SUMIFS(ESL_1!AA$7:AA$37,ESL_1!$G$7:$G$37,$C37)+SUMIFS(ESL_2!Q$6:Q$36,ESL_2!$G$6:$G$36,$C37)+SUMIFS(ESL_2!Q$42:Q$44,ESL_2!$G$42:$G$44,$C37)+SUMIFS(Metering_SCS!Q$6:Q$36,Metering_SCS!$G$6:$G$36,$C37)</f>
        <v>12140.296012320261</v>
      </c>
      <c r="V37" s="159">
        <f t="shared" si="97"/>
        <v>151891.29132970807</v>
      </c>
      <c r="AZ37" s="255" t="s">
        <v>10</v>
      </c>
      <c r="BA37" s="302"/>
      <c r="BB37" s="80">
        <f>AusNet_Overheads!H$20</f>
        <v>9.9295723257081719E-2</v>
      </c>
      <c r="BC37" s="80">
        <f>AusNet_Overheads!I$20</f>
        <v>8.239173522055486E-2</v>
      </c>
      <c r="BD37" s="80">
        <f>AusNet_Overheads!J$20</f>
        <v>8.6577691980272667E-2</v>
      </c>
      <c r="BE37" s="80">
        <f>AusNet_Overheads!K$20</f>
        <v>0.10687170274342839</v>
      </c>
      <c r="BF37" s="80">
        <f>AusNet_Overheads!L$20</f>
        <v>0.10568104433919924</v>
      </c>
      <c r="BG37" s="80">
        <f>AusNet_Overheads!M$20</f>
        <v>0.1086089072674481</v>
      </c>
      <c r="BH37" s="80">
        <f>AusNet_Overheads!N$20</f>
        <v>0.11341589312127581</v>
      </c>
      <c r="BI37" s="80">
        <f>AusNet_Overheads!O$20</f>
        <v>0.11628286706478763</v>
      </c>
    </row>
    <row r="38" spans="2:72" x14ac:dyDescent="0.3">
      <c r="C38" s="1" t="s">
        <v>32</v>
      </c>
      <c r="D38" s="159">
        <f>Base_Forecast!Q12</f>
        <v>0</v>
      </c>
      <c r="E38" s="159">
        <f>Base_Forecast!R12</f>
        <v>0</v>
      </c>
      <c r="F38" s="159">
        <f>Base_Forecast!S12</f>
        <v>0</v>
      </c>
      <c r="G38" s="159">
        <f>Base_Forecast!T12</f>
        <v>0</v>
      </c>
      <c r="H38" s="159">
        <f>Base_Forecast!U12</f>
        <v>0</v>
      </c>
      <c r="I38" s="159">
        <f>Base_Forecast!V12</f>
        <v>0</v>
      </c>
      <c r="J38" s="159">
        <f>Base_Forecast!W12</f>
        <v>0</v>
      </c>
      <c r="K38" s="159">
        <f>Base_Forecast!X12</f>
        <v>0</v>
      </c>
      <c r="L38" s="159">
        <f t="shared" si="96"/>
        <v>0</v>
      </c>
      <c r="N38" s="39">
        <f>Base_Forecast!E12</f>
        <v>0</v>
      </c>
      <c r="O38" s="39">
        <f>Base_Forecast!F12</f>
        <v>0</v>
      </c>
      <c r="P38" s="39">
        <f>Base_Forecast!G12</f>
        <v>0</v>
      </c>
      <c r="Q38" s="39">
        <f>Base_Forecast!H12</f>
        <v>0</v>
      </c>
      <c r="R38" s="39">
        <f>Base_Forecast!I12</f>
        <v>0</v>
      </c>
      <c r="S38" s="39">
        <f>Base_Forecast!J12</f>
        <v>0</v>
      </c>
      <c r="T38" s="39">
        <f>Base_Forecast!K12</f>
        <v>0</v>
      </c>
      <c r="U38" s="39">
        <f>Base_Forecast!L12</f>
        <v>0</v>
      </c>
      <c r="V38" s="159">
        <f t="shared" si="97"/>
        <v>0</v>
      </c>
      <c r="AZ38" s="38" t="s">
        <v>150</v>
      </c>
      <c r="BA38" s="252"/>
      <c r="BB38" s="80">
        <f>AusNet_Overheads!H$20</f>
        <v>9.9295723257081719E-2</v>
      </c>
      <c r="BC38" s="80">
        <f>AusNet_Overheads!I$20</f>
        <v>8.239173522055486E-2</v>
      </c>
      <c r="BD38" s="80">
        <f>AusNet_Overheads!J$20</f>
        <v>8.6577691980272667E-2</v>
      </c>
      <c r="BE38" s="80">
        <f>AusNet_Overheads!K$20</f>
        <v>0.10687170274342839</v>
      </c>
      <c r="BF38" s="80">
        <f>AusNet_Overheads!L$20</f>
        <v>0.10568104433919924</v>
      </c>
      <c r="BG38" s="80">
        <f>AusNet_Overheads!M$20</f>
        <v>0.1086089072674481</v>
      </c>
      <c r="BH38" s="80">
        <f>AusNet_Overheads!N$20</f>
        <v>0.11341589312127581</v>
      </c>
      <c r="BI38" s="80">
        <f>AusNet_Overheads!O$20</f>
        <v>0.11628286706478763</v>
      </c>
    </row>
    <row r="39" spans="2:72" x14ac:dyDescent="0.3">
      <c r="C39" s="1" t="s">
        <v>483</v>
      </c>
      <c r="D39" s="159">
        <f>Base_Forecast!Q35+SUMIFS(REFCL!CQ$6:CQ$36,REFCL!$G$6:$G$36,$C39)+SUMIFS(Augmentation!CQ$6:CQ$36,Augmentation!$G$6:$G$36,$C39)</f>
        <v>0</v>
      </c>
      <c r="E39" s="159">
        <f>Base_Forecast!R35+SUMIFS(REFCL!CR$6:CR$36,REFCL!$G$6:$G$36,$C39)+SUMIFS(Augmentation!CR$6:CR$36,Augmentation!$G$6:$G$36,$C39)</f>
        <v>0</v>
      </c>
      <c r="F39" s="159">
        <f>Base_Forecast!S35+SUMIFS(REFCL!CS$6:CS$36,REFCL!$G$6:$G$36,$C39)+SUMIFS(Augmentation!CS$6:CS$36,Augmentation!$G$6:$G$36,$C39)</f>
        <v>0</v>
      </c>
      <c r="G39" s="159">
        <f>Base_Forecast!T35+SUMIFS(REFCL!CT$6:CT$36,REFCL!$G$6:$G$36,$C39)+SUMIFS(Augmentation!CT$6:CT$36,Augmentation!$G$6:$G$36,$C39)</f>
        <v>32.748425485238016</v>
      </c>
      <c r="H39" s="159">
        <f>Base_Forecast!U35+SUMIFS(REFCL!CU$6:CU$36,REFCL!$G$6:$G$36,$C39)+SUMIFS(Augmentation!CU$6:CU$36,Augmentation!$G$6:$G$36,$C39)</f>
        <v>346.11253718651773</v>
      </c>
      <c r="I39" s="159">
        <f>Base_Forecast!V35+SUMIFS(REFCL!CV$6:CV$36,REFCL!$G$6:$G$36,$C39)+SUMIFS(Augmentation!CV$6:CV$36,Augmentation!$G$6:$G$36,$C39)</f>
        <v>602.76485238508349</v>
      </c>
      <c r="J39" s="159">
        <f>Base_Forecast!W35+SUMIFS(REFCL!CW$6:CW$36,REFCL!$G$6:$G$36,$C39)+SUMIFS(Augmentation!CW$6:CW$36,Augmentation!$G$6:$G$36,$C39)</f>
        <v>875.50577424282051</v>
      </c>
      <c r="K39" s="159">
        <f>Base_Forecast!X35+SUMIFS(REFCL!CX$6:CX$36,REFCL!$G$6:$G$36,$C39)+SUMIFS(Augmentation!CX$6:CX$36,Augmentation!$G$6:$G$36,$C39)</f>
        <v>949.9482012322087</v>
      </c>
      <c r="L39" s="159">
        <f t="shared" si="96"/>
        <v>2807.0797905318686</v>
      </c>
      <c r="N39" s="39">
        <f>Base_Forecast!E35+SUMIFS(REFCL!J$6:J$36,REFCL!$G$6:$G$36,$C39)+SUMIFS(Augmentation!J$6:J$36,Augmentation!$G$6:$G$36,$C39)</f>
        <v>0</v>
      </c>
      <c r="O39" s="39">
        <f>Base_Forecast!F35+SUMIFS(REFCL!K$6:K$36,REFCL!$G$6:$G$36,$C39)+SUMIFS(Augmentation!K$6:K$36,Augmentation!$G$6:$G$36,$C39)</f>
        <v>0</v>
      </c>
      <c r="P39" s="39">
        <f>Base_Forecast!G35+SUMIFS(REFCL!L$6:L$36,REFCL!$G$6:$G$36,$C39)+SUMIFS(Augmentation!L$6:L$36,Augmentation!$G$6:$G$36,$C39)</f>
        <v>0</v>
      </c>
      <c r="Q39" s="39">
        <f>Base_Forecast!H35+SUMIFS(REFCL!M$6:M$36,REFCL!$G$6:$G$36,$C39)+SUMIFS(Augmentation!M$6:M$36,Augmentation!$G$6:$G$36,$C39)</f>
        <v>32.342179828628524</v>
      </c>
      <c r="R39" s="39">
        <f>Base_Forecast!I35+SUMIFS(REFCL!N$6:N$36,REFCL!$G$6:$G$36,$C39)+SUMIFS(Augmentation!N$6:N$36,Augmentation!$G$6:$G$36,$C39)</f>
        <v>337.74538848758363</v>
      </c>
      <c r="S39" s="39">
        <f>Base_Forecast!J35+SUMIFS(REFCL!O$6:O$36,REFCL!$G$6:$G$36,$C39)+SUMIFS(Augmentation!O$6:O$36,Augmentation!$G$6:$G$36,$C39)</f>
        <v>584.31784618543486</v>
      </c>
      <c r="T39" s="39">
        <f>Base_Forecast!K35+SUMIFS(REFCL!P$6:P$36,REFCL!$G$6:$G$36,$C39)+SUMIFS(Augmentation!P$6:P$36,Augmentation!$G$6:$G$36,$C39)</f>
        <v>844.0146667122948</v>
      </c>
      <c r="U39" s="39">
        <f>Base_Forecast!L35+SUMIFS(REFCL!Q$6:Q$36,REFCL!$G$6:$G$36,$C39)+SUMIFS(Augmentation!Q$6:Q$36,Augmentation!$G$6:$G$36,$C39)</f>
        <v>911.04241609027724</v>
      </c>
      <c r="V39" s="159">
        <f t="shared" si="97"/>
        <v>2709.4624973042191</v>
      </c>
      <c r="AZ39" s="303" t="s">
        <v>32</v>
      </c>
      <c r="BA39" s="304"/>
      <c r="BB39" s="80">
        <f>AusNet_Overheads!H21</f>
        <v>8.6801992303514569E-2</v>
      </c>
      <c r="BC39" s="80">
        <f>AusNet_Overheads!I21</f>
        <v>7.3470553152249596E-2</v>
      </c>
      <c r="BD39" s="80">
        <f>AusNet_Overheads!J21</f>
        <v>7.6341844881098742E-2</v>
      </c>
      <c r="BE39" s="80">
        <f>AusNet_Overheads!K21</f>
        <v>9.0829100871193932E-2</v>
      </c>
      <c r="BF39" s="80">
        <f>AusNet_Overheads!L21</f>
        <v>8.9676989837221249E-2</v>
      </c>
      <c r="BG39" s="80">
        <f>AusNet_Overheads!M21</f>
        <v>9.1570818376587634E-2</v>
      </c>
      <c r="BH39" s="80">
        <f>AusNet_Overheads!N21</f>
        <v>9.444251048267592E-2</v>
      </c>
      <c r="BI39" s="80">
        <f>AusNet_Overheads!O21</f>
        <v>9.6000506733158214E-2</v>
      </c>
    </row>
    <row r="40" spans="2:72" x14ac:dyDescent="0.3">
      <c r="AZ40" s="303" t="s">
        <v>485</v>
      </c>
      <c r="BA40" s="304"/>
      <c r="BB40" s="80">
        <f>AusNet_Overheads!H22</f>
        <v>4.8869562961132484E-2</v>
      </c>
      <c r="BC40" s="80">
        <f>AusNet_Overheads!I22</f>
        <v>4.4606846212935897E-2</v>
      </c>
      <c r="BD40" s="80">
        <f>AusNet_Overheads!J22</f>
        <v>5.9471621997677276E-2</v>
      </c>
      <c r="BE40" s="80">
        <f>AusNet_Overheads!K22</f>
        <v>5.9090722646674483E-2</v>
      </c>
      <c r="BF40" s="80">
        <f>AusNet_Overheads!L22</f>
        <v>8.3319975879096994E-2</v>
      </c>
      <c r="BG40" s="80">
        <f>AusNet_Overheads!M22</f>
        <v>7.2816150640969732E-2</v>
      </c>
      <c r="BH40" s="80">
        <f>AusNet_Overheads!N22</f>
        <v>9.5845572046522234E-2</v>
      </c>
      <c r="BI40" s="80">
        <f>AusNet_Overheads!O22</f>
        <v>9.7920172931409991E-2</v>
      </c>
    </row>
    <row r="41" spans="2:72" ht="15" customHeight="1" x14ac:dyDescent="0.3">
      <c r="C41" s="1" t="s">
        <v>10</v>
      </c>
      <c r="D41" s="159">
        <f>D31-D36</f>
        <v>0</v>
      </c>
      <c r="E41" s="159">
        <f t="shared" ref="E41:L41" si="98">E31-E36</f>
        <v>0</v>
      </c>
      <c r="F41" s="159">
        <f t="shared" ref="F41" si="99">F31-F36</f>
        <v>0</v>
      </c>
      <c r="G41" s="159">
        <f t="shared" si="98"/>
        <v>-39898.785220600155</v>
      </c>
      <c r="H41" s="159">
        <f t="shared" si="98"/>
        <v>-37844.471861559177</v>
      </c>
      <c r="I41" s="159">
        <f t="shared" si="98"/>
        <v>-35809.356348725458</v>
      </c>
      <c r="J41" s="159">
        <f t="shared" si="98"/>
        <v>-41229.918703158466</v>
      </c>
      <c r="K41" s="159">
        <f t="shared" si="98"/>
        <v>-43586.571929919221</v>
      </c>
      <c r="L41" s="159">
        <f t="shared" si="98"/>
        <v>-198369.10406396247</v>
      </c>
      <c r="N41" s="159">
        <f>N31-N36</f>
        <v>0</v>
      </c>
      <c r="O41" s="159">
        <f t="shared" ref="O41:V41" si="100">O31-O36</f>
        <v>0</v>
      </c>
      <c r="P41" s="159">
        <f t="shared" ref="P41" si="101">P31-P36</f>
        <v>0</v>
      </c>
      <c r="Q41" s="159">
        <f t="shared" si="100"/>
        <v>-39273.48087732213</v>
      </c>
      <c r="R41" s="159">
        <f t="shared" si="100"/>
        <v>-36969.101832577013</v>
      </c>
      <c r="S41" s="159">
        <f t="shared" si="100"/>
        <v>-34713.447362067505</v>
      </c>
      <c r="T41" s="159">
        <f t="shared" si="100"/>
        <v>-39746.917857756962</v>
      </c>
      <c r="U41" s="159">
        <f t="shared" si="100"/>
        <v>-41801.453751497334</v>
      </c>
      <c r="V41" s="159">
        <f t="shared" si="100"/>
        <v>-192504.40168122092</v>
      </c>
    </row>
    <row r="42" spans="2:72" ht="15" customHeight="1" x14ac:dyDescent="0.3">
      <c r="C42" s="1" t="s">
        <v>150</v>
      </c>
      <c r="D42" s="159">
        <f t="shared" ref="D42:L42" si="102">D32-D37</f>
        <v>0</v>
      </c>
      <c r="E42" s="159">
        <f t="shared" si="102"/>
        <v>-1083.7583951178297</v>
      </c>
      <c r="F42" s="159">
        <f t="shared" ref="F42" si="103">F32-F37</f>
        <v>-10215.669988563352</v>
      </c>
      <c r="G42" s="159">
        <f t="shared" si="102"/>
        <v>-42088.327766489485</v>
      </c>
      <c r="H42" s="159">
        <f t="shared" si="102"/>
        <v>-42964.73401108956</v>
      </c>
      <c r="I42" s="159">
        <f t="shared" si="102"/>
        <v>-36614.057149947897</v>
      </c>
      <c r="J42" s="159">
        <f t="shared" si="102"/>
        <v>-22178.238027892596</v>
      </c>
      <c r="K42" s="159">
        <f t="shared" si="102"/>
        <v>-12648.243847114591</v>
      </c>
      <c r="L42" s="159">
        <f t="shared" si="102"/>
        <v>-156493.60080253411</v>
      </c>
      <c r="N42" s="159">
        <f t="shared" ref="N42:V42" si="104">N32-N37</f>
        <v>0</v>
      </c>
      <c r="O42" s="159">
        <f t="shared" si="104"/>
        <v>-1070</v>
      </c>
      <c r="P42" s="159">
        <f t="shared" ref="P42" si="105">P32-P37</f>
        <v>-10141.486946890469</v>
      </c>
      <c r="Q42" s="159">
        <f t="shared" si="104"/>
        <v>-41286.734675023501</v>
      </c>
      <c r="R42" s="159">
        <f t="shared" si="104"/>
        <v>-41782.163025207432</v>
      </c>
      <c r="S42" s="159">
        <f t="shared" si="104"/>
        <v>-35358.041548104571</v>
      </c>
      <c r="T42" s="159">
        <f t="shared" si="104"/>
        <v>-21324.056069052283</v>
      </c>
      <c r="U42" s="159">
        <f t="shared" si="104"/>
        <v>-12140.296012320261</v>
      </c>
      <c r="V42" s="159">
        <f t="shared" si="104"/>
        <v>-151891.29132970807</v>
      </c>
    </row>
    <row r="43" spans="2:72" ht="15" customHeight="1" x14ac:dyDescent="0.3">
      <c r="C43" s="1" t="s">
        <v>32</v>
      </c>
      <c r="D43" s="159">
        <f t="shared" ref="D43:L43" si="106">D33-D38</f>
        <v>0</v>
      </c>
      <c r="E43" s="159">
        <f t="shared" si="106"/>
        <v>0</v>
      </c>
      <c r="F43" s="159">
        <f t="shared" ref="F43" si="107">F33-F38</f>
        <v>0</v>
      </c>
      <c r="G43" s="159">
        <f t="shared" si="106"/>
        <v>0</v>
      </c>
      <c r="H43" s="159">
        <f t="shared" si="106"/>
        <v>0</v>
      </c>
      <c r="I43" s="159">
        <f t="shared" si="106"/>
        <v>0</v>
      </c>
      <c r="J43" s="159">
        <f t="shared" si="106"/>
        <v>0</v>
      </c>
      <c r="K43" s="159">
        <f t="shared" si="106"/>
        <v>0</v>
      </c>
      <c r="L43" s="159">
        <f t="shared" si="106"/>
        <v>0</v>
      </c>
      <c r="N43" s="159">
        <f t="shared" ref="N43:V43" si="108">N33-N38</f>
        <v>0</v>
      </c>
      <c r="O43" s="159">
        <f t="shared" si="108"/>
        <v>0</v>
      </c>
      <c r="P43" s="159">
        <f t="shared" ref="P43" si="109">P33-P38</f>
        <v>0</v>
      </c>
      <c r="Q43" s="159">
        <f t="shared" si="108"/>
        <v>0</v>
      </c>
      <c r="R43" s="159">
        <f t="shared" si="108"/>
        <v>0</v>
      </c>
      <c r="S43" s="159">
        <f t="shared" si="108"/>
        <v>0</v>
      </c>
      <c r="T43" s="159">
        <f t="shared" si="108"/>
        <v>0</v>
      </c>
      <c r="U43" s="159">
        <f t="shared" si="108"/>
        <v>0</v>
      </c>
      <c r="V43" s="159">
        <f t="shared" si="108"/>
        <v>0</v>
      </c>
    </row>
    <row r="44" spans="2:72" ht="15" customHeight="1" x14ac:dyDescent="0.3">
      <c r="C44" s="1" t="s">
        <v>483</v>
      </c>
      <c r="D44" s="159">
        <f t="shared" ref="D44:L44" si="110">D34-D39</f>
        <v>0</v>
      </c>
      <c r="E44" s="159">
        <f t="shared" si="110"/>
        <v>0</v>
      </c>
      <c r="F44" s="159">
        <f t="shared" ref="F44" si="111">F34-F39</f>
        <v>0</v>
      </c>
      <c r="G44" s="159">
        <f t="shared" si="110"/>
        <v>-32.748425485238016</v>
      </c>
      <c r="H44" s="159">
        <f t="shared" si="110"/>
        <v>-346.11253718651773</v>
      </c>
      <c r="I44" s="159">
        <f t="shared" si="110"/>
        <v>-602.76485238508349</v>
      </c>
      <c r="J44" s="159">
        <f t="shared" si="110"/>
        <v>-875.50577424282051</v>
      </c>
      <c r="K44" s="159">
        <f t="shared" si="110"/>
        <v>-949.9482012322087</v>
      </c>
      <c r="L44" s="159">
        <f t="shared" si="110"/>
        <v>-2807.0797905318686</v>
      </c>
      <c r="N44" s="159">
        <f t="shared" ref="N44:V44" si="112">N34-N39</f>
        <v>0</v>
      </c>
      <c r="O44" s="159">
        <f t="shared" si="112"/>
        <v>0</v>
      </c>
      <c r="P44" s="159">
        <f t="shared" ref="P44" si="113">P34-P39</f>
        <v>0</v>
      </c>
      <c r="Q44" s="159">
        <f t="shared" si="112"/>
        <v>-32.342179828628524</v>
      </c>
      <c r="R44" s="159">
        <f t="shared" si="112"/>
        <v>-337.74538848758363</v>
      </c>
      <c r="S44" s="159">
        <f t="shared" si="112"/>
        <v>-584.31784618543486</v>
      </c>
      <c r="T44" s="159">
        <f t="shared" si="112"/>
        <v>-844.0146667122948</v>
      </c>
      <c r="U44" s="159">
        <f t="shared" si="112"/>
        <v>-911.04241609027724</v>
      </c>
      <c r="V44" s="159">
        <f t="shared" si="112"/>
        <v>-2709.4624973042191</v>
      </c>
    </row>
    <row r="45" spans="2:72" ht="15" customHeight="1" x14ac:dyDescent="0.3"/>
  </sheetData>
  <mergeCells count="1">
    <mergeCell ref="G1:H1"/>
  </mergeCells>
  <hyperlinks>
    <hyperlink ref="B2" location="Contents!A1" display="Table of Contents" xr:uid="{00000000-0004-0000-19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BU56"/>
  <sheetViews>
    <sheetView zoomScale="70" zoomScaleNormal="70" workbookViewId="0">
      <pane xSplit="3" ySplit="4" topLeftCell="AD5" activePane="bottomRight" state="frozen"/>
      <selection activeCell="K24" sqref="K24"/>
      <selection pane="topRight" activeCell="K24" sqref="K24"/>
      <selection pane="bottomLeft" activeCell="K24" sqref="K24"/>
      <selection pane="bottomRight" activeCell="AW5" sqref="AW5"/>
    </sheetView>
  </sheetViews>
  <sheetFormatPr defaultColWidth="9.109375" defaultRowHeight="14.4" outlineLevelRow="1" outlineLevelCol="1" x14ac:dyDescent="0.3"/>
  <cols>
    <col min="1" max="1" width="4" style="1" customWidth="1"/>
    <col min="2" max="2" width="3.33203125" style="1" customWidth="1"/>
    <col min="3" max="3" width="34.88671875" style="1" customWidth="1"/>
    <col min="4" max="6" width="9.33203125" style="1" customWidth="1" outlineLevel="1"/>
    <col min="7" max="11" width="9.33203125" style="1" customWidth="1"/>
    <col min="12" max="12" width="11.5546875" style="1" customWidth="1"/>
    <col min="13" max="13" width="5" style="1" customWidth="1"/>
    <col min="14" max="16" width="8.33203125" style="1" customWidth="1" outlineLevel="1"/>
    <col min="17" max="21" width="9.88671875" style="1" customWidth="1"/>
    <col min="22" max="22" width="10.33203125" style="1" customWidth="1"/>
    <col min="23" max="23" width="4" style="1" customWidth="1"/>
    <col min="24" max="26" width="9.33203125" style="1" customWidth="1" outlineLevel="1"/>
    <col min="27" max="32" width="9.33203125" style="1" customWidth="1"/>
    <col min="33" max="33" width="5" style="1" customWidth="1"/>
    <col min="34" max="36" width="9.5546875" style="1" customWidth="1" outlineLevel="1"/>
    <col min="37" max="41" width="9.5546875" style="1" customWidth="1"/>
    <col min="42" max="42" width="11" style="1" customWidth="1"/>
    <col min="43" max="43" width="4" style="1" customWidth="1"/>
    <col min="44" max="46" width="8.44140625" style="1" customWidth="1" outlineLevel="1"/>
    <col min="47" max="51" width="8.44140625" style="1" customWidth="1"/>
    <col min="52" max="52" width="10.44140625" style="1" customWidth="1"/>
    <col min="53" max="53" width="4.88671875" style="1" customWidth="1"/>
    <col min="54" max="55" width="10" style="1" customWidth="1" outlineLevel="1"/>
    <col min="56" max="56" width="9" style="1" customWidth="1" outlineLevel="1"/>
    <col min="57" max="61" width="10" style="1" customWidth="1"/>
    <col min="62" max="62" width="11.44140625" style="1" customWidth="1"/>
    <col min="63" max="63" width="4.44140625" style="1" customWidth="1"/>
    <col min="64" max="72" width="9.109375" style="1"/>
    <col min="73" max="73" width="15.33203125" style="1" bestFit="1" customWidth="1"/>
    <col min="74" max="16384" width="9.109375" style="1"/>
  </cols>
  <sheetData>
    <row r="1" spans="2:70" ht="18" x14ac:dyDescent="0.35">
      <c r="B1" s="10" t="s">
        <v>506</v>
      </c>
      <c r="H1" s="596" t="s">
        <v>749</v>
      </c>
      <c r="I1" s="596"/>
    </row>
    <row r="2" spans="2:70" x14ac:dyDescent="0.3">
      <c r="B2" s="25" t="s">
        <v>6</v>
      </c>
      <c r="G2" s="55" t="s">
        <v>676</v>
      </c>
      <c r="M2" s="251" t="s">
        <v>497</v>
      </c>
      <c r="AR2" s="163"/>
      <c r="AV2" s="163"/>
      <c r="BB2" s="163"/>
      <c r="BF2" s="163"/>
      <c r="BL2" s="101">
        <f>Escalators!$Q$14</f>
        <v>1.0577777777777779</v>
      </c>
      <c r="BM2" s="185" t="s">
        <v>588</v>
      </c>
    </row>
    <row r="3" spans="2:70" x14ac:dyDescent="0.3">
      <c r="B3" s="2"/>
      <c r="E3" s="258"/>
      <c r="F3" s="258"/>
      <c r="G3" s="2" t="s">
        <v>493</v>
      </c>
      <c r="H3" s="2"/>
      <c r="I3" s="2"/>
      <c r="J3" s="2"/>
      <c r="K3" s="2"/>
      <c r="L3" s="43" t="s">
        <v>137</v>
      </c>
      <c r="M3" s="2" t="s">
        <v>498</v>
      </c>
      <c r="O3" s="258"/>
      <c r="P3" s="258"/>
      <c r="Q3" s="2"/>
      <c r="R3" s="2"/>
      <c r="S3" s="2"/>
      <c r="T3" s="2"/>
      <c r="U3" s="2"/>
      <c r="V3" s="43" t="s">
        <v>137</v>
      </c>
      <c r="W3" s="2" t="s">
        <v>613</v>
      </c>
      <c r="Y3" s="2"/>
      <c r="Z3" s="2"/>
      <c r="AA3" s="2"/>
      <c r="AB3" s="2"/>
      <c r="AC3" s="2"/>
      <c r="AD3" s="2"/>
      <c r="AE3" s="2"/>
      <c r="AF3" s="43" t="s">
        <v>137</v>
      </c>
      <c r="AG3" s="2" t="s">
        <v>498</v>
      </c>
      <c r="AI3" s="258"/>
      <c r="AJ3" s="258"/>
      <c r="AK3" s="2"/>
      <c r="AL3" s="2"/>
      <c r="AM3" s="2"/>
      <c r="AN3" s="2"/>
      <c r="AO3" s="2"/>
      <c r="AP3" s="43" t="s">
        <v>137</v>
      </c>
      <c r="AQ3" s="2" t="s">
        <v>490</v>
      </c>
      <c r="AS3" s="2"/>
      <c r="AT3" s="2"/>
      <c r="AU3" s="2"/>
      <c r="AV3" s="2"/>
      <c r="AW3" s="2"/>
      <c r="AX3" s="2"/>
      <c r="AY3" s="2"/>
      <c r="AZ3" s="43" t="s">
        <v>137</v>
      </c>
      <c r="BA3" s="2" t="s">
        <v>491</v>
      </c>
      <c r="BC3" s="2"/>
      <c r="BD3" s="2"/>
      <c r="BE3" s="2"/>
      <c r="BF3" s="2"/>
      <c r="BG3" s="2"/>
      <c r="BH3" s="2"/>
      <c r="BI3" s="2"/>
      <c r="BJ3" s="43" t="s">
        <v>137</v>
      </c>
      <c r="BL3" s="598" t="s">
        <v>727</v>
      </c>
      <c r="BM3" s="598"/>
      <c r="BN3" s="598"/>
      <c r="BO3" s="598"/>
      <c r="BP3" s="598"/>
      <c r="BQ3" s="598"/>
    </row>
    <row r="4" spans="2:70" x14ac:dyDescent="0.3">
      <c r="D4" s="337">
        <f>CP_Yr_4</f>
        <v>43800</v>
      </c>
      <c r="E4" s="337">
        <f>CP_Yr_5</f>
        <v>44166</v>
      </c>
      <c r="F4" s="337">
        <f>Stub</f>
        <v>44377</v>
      </c>
      <c r="G4" s="341">
        <f>Yr_1</f>
        <v>44742</v>
      </c>
      <c r="H4" s="337">
        <f>Yr_2</f>
        <v>45107</v>
      </c>
      <c r="I4" s="337">
        <f>Yr_3</f>
        <v>45473</v>
      </c>
      <c r="J4" s="337">
        <f>Yr_4</f>
        <v>45838</v>
      </c>
      <c r="K4" s="337">
        <f>Yr_5</f>
        <v>46203</v>
      </c>
      <c r="L4" s="43" t="str">
        <f>NReg_Period</f>
        <v>2022-26</v>
      </c>
      <c r="M4" s="268"/>
      <c r="N4" s="337">
        <f>CP_Yr_4</f>
        <v>43800</v>
      </c>
      <c r="O4" s="337">
        <f>CP_Yr_5</f>
        <v>44166</v>
      </c>
      <c r="P4" s="337">
        <f>Stub</f>
        <v>44377</v>
      </c>
      <c r="Q4" s="341">
        <f>Yr_1</f>
        <v>44742</v>
      </c>
      <c r="R4" s="337">
        <f>Yr_2</f>
        <v>45107</v>
      </c>
      <c r="S4" s="337">
        <f>Yr_3</f>
        <v>45473</v>
      </c>
      <c r="T4" s="337">
        <f>Yr_4</f>
        <v>45838</v>
      </c>
      <c r="U4" s="337">
        <f>Yr_5</f>
        <v>46203</v>
      </c>
      <c r="V4" s="43" t="str">
        <f>NReg_Period</f>
        <v>2022-26</v>
      </c>
      <c r="W4" s="268"/>
      <c r="X4" s="337">
        <f>CP_Yr_4</f>
        <v>43800</v>
      </c>
      <c r="Y4" s="337">
        <f>CP_Yr_5</f>
        <v>44166</v>
      </c>
      <c r="Z4" s="337">
        <f>Stub</f>
        <v>44377</v>
      </c>
      <c r="AA4" s="341">
        <f>Yr_1</f>
        <v>44742</v>
      </c>
      <c r="AB4" s="337">
        <f>Yr_2</f>
        <v>45107</v>
      </c>
      <c r="AC4" s="337">
        <f>Yr_3</f>
        <v>45473</v>
      </c>
      <c r="AD4" s="337">
        <f>Yr_4</f>
        <v>45838</v>
      </c>
      <c r="AE4" s="337">
        <f>Yr_5</f>
        <v>46203</v>
      </c>
      <c r="AF4" s="43" t="str">
        <f>NReg_Period</f>
        <v>2022-26</v>
      </c>
      <c r="AH4" s="337">
        <f>CP_Yr_4</f>
        <v>43800</v>
      </c>
      <c r="AI4" s="337">
        <f>CP_Yr_5</f>
        <v>44166</v>
      </c>
      <c r="AJ4" s="337">
        <f>Stub</f>
        <v>44377</v>
      </c>
      <c r="AK4" s="341">
        <f>Yr_1</f>
        <v>44742</v>
      </c>
      <c r="AL4" s="337">
        <f>Yr_2</f>
        <v>45107</v>
      </c>
      <c r="AM4" s="337">
        <f>Yr_3</f>
        <v>45473</v>
      </c>
      <c r="AN4" s="337">
        <f>Yr_4</f>
        <v>45838</v>
      </c>
      <c r="AO4" s="337">
        <f>Yr_5</f>
        <v>46203</v>
      </c>
      <c r="AP4" s="43" t="str">
        <f>NReg_Period</f>
        <v>2022-26</v>
      </c>
      <c r="AQ4" s="363"/>
      <c r="AR4" s="337">
        <f>CP_Yr_4</f>
        <v>43800</v>
      </c>
      <c r="AS4" s="337">
        <f>CP_Yr_5</f>
        <v>44166</v>
      </c>
      <c r="AT4" s="337">
        <f>Stub</f>
        <v>44377</v>
      </c>
      <c r="AU4" s="341">
        <f>Yr_1</f>
        <v>44742</v>
      </c>
      <c r="AV4" s="337">
        <f>Yr_2</f>
        <v>45107</v>
      </c>
      <c r="AW4" s="337">
        <f>Yr_3</f>
        <v>45473</v>
      </c>
      <c r="AX4" s="337">
        <f>Yr_4</f>
        <v>45838</v>
      </c>
      <c r="AY4" s="337">
        <f>Yr_5</f>
        <v>46203</v>
      </c>
      <c r="AZ4" s="43" t="str">
        <f>NReg_Period</f>
        <v>2022-26</v>
      </c>
      <c r="BB4" s="337">
        <f>CP_Yr_4</f>
        <v>43800</v>
      </c>
      <c r="BC4" s="337">
        <f>CP_Yr_5</f>
        <v>44166</v>
      </c>
      <c r="BD4" s="337">
        <f>Stub</f>
        <v>44377</v>
      </c>
      <c r="BE4" s="341">
        <f>Yr_1</f>
        <v>44742</v>
      </c>
      <c r="BF4" s="337">
        <f>Yr_2</f>
        <v>45107</v>
      </c>
      <c r="BG4" s="337">
        <f>Yr_3</f>
        <v>45473</v>
      </c>
      <c r="BH4" s="337">
        <f>Yr_4</f>
        <v>45838</v>
      </c>
      <c r="BI4" s="337">
        <f>Yr_5</f>
        <v>46203</v>
      </c>
      <c r="BJ4" s="43" t="str">
        <f>NReg_Period</f>
        <v>2022-26</v>
      </c>
      <c r="BL4" s="340">
        <f>Yr_1</f>
        <v>44742</v>
      </c>
      <c r="BM4" s="340">
        <f>Yr_2</f>
        <v>45107</v>
      </c>
      <c r="BN4" s="340">
        <f>Yr_3</f>
        <v>45473</v>
      </c>
      <c r="BO4" s="340">
        <f>Yr_4</f>
        <v>45838</v>
      </c>
      <c r="BP4" s="340">
        <f>Yr_5</f>
        <v>46203</v>
      </c>
      <c r="BQ4" s="360" t="str">
        <f>NReg_Period</f>
        <v>2022-26</v>
      </c>
    </row>
    <row r="5" spans="2:70" x14ac:dyDescent="0.3">
      <c r="B5" s="251" t="s">
        <v>452</v>
      </c>
      <c r="D5" s="539"/>
      <c r="E5" s="539"/>
      <c r="F5" s="539"/>
      <c r="G5" s="538"/>
      <c r="H5" s="539"/>
      <c r="I5" s="539"/>
      <c r="J5" s="539"/>
      <c r="K5" s="539"/>
      <c r="L5" s="539"/>
      <c r="N5" s="539"/>
      <c r="O5" s="539"/>
      <c r="P5" s="539"/>
      <c r="Q5" s="538"/>
      <c r="R5" s="539"/>
      <c r="S5" s="539"/>
      <c r="T5" s="539"/>
      <c r="U5" s="539"/>
      <c r="V5" s="539"/>
      <c r="X5" s="539"/>
      <c r="Y5" s="539"/>
      <c r="Z5" s="539"/>
      <c r="AA5" s="538"/>
      <c r="AB5" s="539"/>
      <c r="AC5" s="539"/>
      <c r="AD5" s="539"/>
      <c r="AE5" s="539"/>
      <c r="AF5" s="539"/>
      <c r="AH5" s="158">
        <v>0</v>
      </c>
      <c r="AI5" s="158">
        <v>0</v>
      </c>
      <c r="AJ5" s="158">
        <v>0</v>
      </c>
      <c r="AK5" s="269">
        <v>16781.192456116853</v>
      </c>
      <c r="AL5" s="158">
        <v>18841.324569732955</v>
      </c>
      <c r="AM5" s="158">
        <v>16555.647790965395</v>
      </c>
      <c r="AN5" s="158">
        <v>13331.943609266937</v>
      </c>
      <c r="AO5" s="158">
        <v>13058.263952951804</v>
      </c>
      <c r="AP5" s="158">
        <f t="shared" ref="AP5:AP16" si="0">SUM(AK5:AO5)</f>
        <v>78568.372379033943</v>
      </c>
      <c r="AR5" s="158">
        <f t="shared" ref="AR5:AY5" si="1">SUBTOTAL(9,AR6:AR9)</f>
        <v>0</v>
      </c>
      <c r="AS5" s="158">
        <f t="shared" si="1"/>
        <v>0</v>
      </c>
      <c r="AT5" s="158">
        <f t="shared" si="1"/>
        <v>0</v>
      </c>
      <c r="AU5" s="269">
        <f t="shared" si="1"/>
        <v>1793.4346118503834</v>
      </c>
      <c r="AV5" s="158">
        <f t="shared" si="1"/>
        <v>1991.1708572631926</v>
      </c>
      <c r="AW5" s="158">
        <f t="shared" si="1"/>
        <v>1798.0908156814926</v>
      </c>
      <c r="AX5" s="158">
        <f t="shared" si="1"/>
        <v>1512.054291487495</v>
      </c>
      <c r="AY5" s="158">
        <f t="shared" si="1"/>
        <v>1518.4523713380029</v>
      </c>
      <c r="AZ5" s="158">
        <f t="shared" ref="AZ5:AZ16" si="2">SUM(AU5:AY5)</f>
        <v>8613.2029476205662</v>
      </c>
      <c r="BB5" s="158">
        <f t="shared" ref="BB5:BI5" si="3">SUBTOTAL(9,BB6:BB9)</f>
        <v>0</v>
      </c>
      <c r="BC5" s="158">
        <f t="shared" si="3"/>
        <v>0</v>
      </c>
      <c r="BD5" s="158">
        <f t="shared" si="3"/>
        <v>0</v>
      </c>
      <c r="BE5" s="372">
        <f t="shared" si="3"/>
        <v>18574.627067967238</v>
      </c>
      <c r="BF5" s="366">
        <f t="shared" si="3"/>
        <v>20832.495426996145</v>
      </c>
      <c r="BG5" s="366">
        <f t="shared" si="3"/>
        <v>18353.73860664689</v>
      </c>
      <c r="BH5" s="366">
        <f t="shared" si="3"/>
        <v>14843.997900754432</v>
      </c>
      <c r="BI5" s="366">
        <f t="shared" si="3"/>
        <v>14576.716324289806</v>
      </c>
      <c r="BJ5" s="158">
        <f t="shared" ref="BJ5:BJ16" si="4">SUM(BE5:BI5)</f>
        <v>87181.575326654522</v>
      </c>
      <c r="BL5" s="370">
        <f t="shared" ref="BL5" si="5">BE5*$BL$2/Thousands</f>
        <v>19.647827743005351</v>
      </c>
      <c r="BM5" s="370">
        <f t="shared" ref="BM5" si="6">BF5*$BL$2/Thousands</f>
        <v>22.036150718333705</v>
      </c>
      <c r="BN5" s="370">
        <f t="shared" ref="BN5" si="7">BG5*$BL$2/Thousands</f>
        <v>19.414176837253159</v>
      </c>
      <c r="BO5" s="370">
        <f t="shared" ref="BO5" si="8">BH5*$BL$2/Thousands</f>
        <v>15.701651112798023</v>
      </c>
      <c r="BP5" s="370">
        <f t="shared" ref="BP5" si="9">BI5*$BL$2/Thousands</f>
        <v>15.41892660080433</v>
      </c>
      <c r="BQ5" s="289">
        <f t="shared" ref="BQ5:BQ40" si="10">SUM(BL5:BP5)</f>
        <v>92.218733012194562</v>
      </c>
    </row>
    <row r="6" spans="2:70" outlineLevel="1" x14ac:dyDescent="0.3">
      <c r="C6" s="1" t="s">
        <v>44</v>
      </c>
      <c r="D6" s="539"/>
      <c r="E6" s="539"/>
      <c r="F6" s="539"/>
      <c r="G6" s="538"/>
      <c r="H6" s="539"/>
      <c r="I6" s="539"/>
      <c r="J6" s="539"/>
      <c r="K6" s="539"/>
      <c r="L6" s="539"/>
      <c r="M6" s="158"/>
      <c r="N6" s="535"/>
      <c r="O6" s="535"/>
      <c r="P6" s="535"/>
      <c r="Q6" s="534"/>
      <c r="R6" s="539"/>
      <c r="S6" s="539"/>
      <c r="T6" s="539"/>
      <c r="U6" s="539"/>
      <c r="V6" s="539"/>
      <c r="X6" s="539"/>
      <c r="Y6" s="539"/>
      <c r="Z6" s="539"/>
      <c r="AA6" s="538"/>
      <c r="AB6" s="539"/>
      <c r="AC6" s="539"/>
      <c r="AD6" s="539"/>
      <c r="AE6" s="539"/>
      <c r="AF6" s="539"/>
      <c r="AH6" s="159">
        <v>0</v>
      </c>
      <c r="AI6" s="159">
        <v>0</v>
      </c>
      <c r="AJ6" s="159">
        <v>0</v>
      </c>
      <c r="AK6" s="270">
        <v>2199.9648662602431</v>
      </c>
      <c r="AL6" s="159">
        <v>3770.5491835106736</v>
      </c>
      <c r="AM6" s="159">
        <v>2372.0739159368109</v>
      </c>
      <c r="AN6" s="159">
        <v>589.09551922052174</v>
      </c>
      <c r="AO6" s="159">
        <v>321.62614870098469</v>
      </c>
      <c r="AP6" s="158">
        <f t="shared" si="0"/>
        <v>9253.3096336292347</v>
      </c>
      <c r="AR6" s="158">
        <f>AH6*AusNet_Overheads!H$20</f>
        <v>0</v>
      </c>
      <c r="AS6" s="158">
        <f>AI6*AusNet_Overheads!I$20</f>
        <v>0</v>
      </c>
      <c r="AT6" s="158">
        <f>AJ6*AusNet_Overheads!J$20</f>
        <v>0</v>
      </c>
      <c r="AU6" s="269">
        <f>AK6*AusNet_Overheads!K$20</f>
        <v>235.11399123295089</v>
      </c>
      <c r="AV6" s="158">
        <f>AL6*AusNet_Overheads!L$20</f>
        <v>398.475575445723</v>
      </c>
      <c r="AW6" s="158">
        <f>AM6*AusNet_Overheads!M$20</f>
        <v>257.62835596751358</v>
      </c>
      <c r="AX6" s="158">
        <f>AN6*AusNet_Overheads!N$20</f>
        <v>66.812794446137175</v>
      </c>
      <c r="AY6" s="158">
        <f>AO6*AusNet_Overheads!O$20</f>
        <v>37.39961069395622</v>
      </c>
      <c r="AZ6" s="159">
        <f t="shared" si="2"/>
        <v>995.43032778628094</v>
      </c>
      <c r="BB6" s="158">
        <f>AR6+AH6</f>
        <v>0</v>
      </c>
      <c r="BC6" s="158">
        <f t="shared" ref="BC6:BC9" si="11">AS6+AI6</f>
        <v>0</v>
      </c>
      <c r="BD6" s="158">
        <f t="shared" ref="BD6:BD9" si="12">AT6+AJ6</f>
        <v>0</v>
      </c>
      <c r="BE6" s="269">
        <f t="shared" ref="BE6:BE9" si="13">AU6+AK6</f>
        <v>2435.0788574931939</v>
      </c>
      <c r="BF6" s="158">
        <f t="shared" ref="BF6:BF9" si="14">AV6+AL6</f>
        <v>4169.0247589563969</v>
      </c>
      <c r="BG6" s="158">
        <f t="shared" ref="BG6:BG9" si="15">AW6+AM6</f>
        <v>2629.7022719043243</v>
      </c>
      <c r="BH6" s="158">
        <f t="shared" ref="BH6:BH9" si="16">AX6+AN6</f>
        <v>655.90831366665896</v>
      </c>
      <c r="BI6" s="158">
        <f t="shared" ref="BI6:BI9" si="17">AY6+AO6</f>
        <v>359.02575939494091</v>
      </c>
      <c r="BJ6" s="159">
        <f t="shared" si="4"/>
        <v>10248.739961415517</v>
      </c>
      <c r="BL6" s="285">
        <f t="shared" ref="BL6:BP10" si="18">BE6*$BL$2/Thousands</f>
        <v>2.5757723025928012</v>
      </c>
      <c r="BM6" s="285">
        <f t="shared" si="18"/>
        <v>4.4099017450294342</v>
      </c>
      <c r="BN6" s="285">
        <f t="shared" si="18"/>
        <v>2.78164062539213</v>
      </c>
      <c r="BO6" s="285">
        <f t="shared" si="18"/>
        <v>0.69380523845628828</v>
      </c>
      <c r="BP6" s="285">
        <f t="shared" si="18"/>
        <v>0.37976946993775978</v>
      </c>
      <c r="BQ6" s="289">
        <f t="shared" si="10"/>
        <v>10.840889381408413</v>
      </c>
      <c r="BR6" s="278"/>
    </row>
    <row r="7" spans="2:70" outlineLevel="1" x14ac:dyDescent="0.3">
      <c r="C7" s="1" t="s">
        <v>45</v>
      </c>
      <c r="D7" s="539"/>
      <c r="E7" s="539"/>
      <c r="F7" s="539"/>
      <c r="G7" s="538"/>
      <c r="H7" s="539"/>
      <c r="I7" s="539"/>
      <c r="J7" s="539"/>
      <c r="K7" s="539"/>
      <c r="L7" s="539"/>
      <c r="M7" s="158"/>
      <c r="N7" s="535"/>
      <c r="O7" s="535"/>
      <c r="P7" s="535"/>
      <c r="Q7" s="538"/>
      <c r="R7" s="539"/>
      <c r="S7" s="539"/>
      <c r="T7" s="539"/>
      <c r="U7" s="539"/>
      <c r="V7" s="539"/>
      <c r="X7" s="539"/>
      <c r="Y7" s="539"/>
      <c r="Z7" s="539"/>
      <c r="AA7" s="538"/>
      <c r="AB7" s="539"/>
      <c r="AC7" s="539"/>
      <c r="AD7" s="539"/>
      <c r="AE7" s="539"/>
      <c r="AF7" s="539"/>
      <c r="AH7" s="159">
        <v>0</v>
      </c>
      <c r="AI7" s="159">
        <v>0</v>
      </c>
      <c r="AJ7" s="159">
        <v>0</v>
      </c>
      <c r="AK7" s="270">
        <v>14197.267049798189</v>
      </c>
      <c r="AL7" s="159">
        <v>15070.775386222282</v>
      </c>
      <c r="AM7" s="159">
        <v>14183.573875028585</v>
      </c>
      <c r="AN7" s="159">
        <v>12742.848090046415</v>
      </c>
      <c r="AO7" s="159">
        <v>12736.637804250819</v>
      </c>
      <c r="AP7" s="158">
        <f t="shared" si="0"/>
        <v>68931.102205346295</v>
      </c>
      <c r="AR7" s="158">
        <f>AH7*AusNet_Overheads!H$20</f>
        <v>0</v>
      </c>
      <c r="AS7" s="158">
        <f>AI7*AusNet_Overheads!I$20</f>
        <v>0</v>
      </c>
      <c r="AT7" s="158">
        <f>AJ7*AusNet_Overheads!J$20</f>
        <v>0</v>
      </c>
      <c r="AU7" s="269">
        <f>AK7*AusNet_Overheads!K$20</f>
        <v>1517.2861039151026</v>
      </c>
      <c r="AV7" s="158">
        <f>AL7*AusNet_Overheads!L$20</f>
        <v>1592.6952818174695</v>
      </c>
      <c r="AW7" s="158">
        <f>AM7*AusNet_Overheads!M$20</f>
        <v>1540.4624597139791</v>
      </c>
      <c r="AX7" s="158">
        <f>AN7*AusNet_Overheads!N$20</f>
        <v>1445.2414970413579</v>
      </c>
      <c r="AY7" s="158">
        <f>AO7*AusNet_Overheads!O$20</f>
        <v>1481.0527606440467</v>
      </c>
      <c r="AZ7" s="159">
        <f t="shared" si="2"/>
        <v>7576.7381031319546</v>
      </c>
      <c r="BB7" s="158">
        <f t="shared" ref="BB7:BB9" si="19">AR7+AH7</f>
        <v>0</v>
      </c>
      <c r="BC7" s="158">
        <f t="shared" si="11"/>
        <v>0</v>
      </c>
      <c r="BD7" s="158">
        <f t="shared" si="12"/>
        <v>0</v>
      </c>
      <c r="BE7" s="269">
        <f t="shared" si="13"/>
        <v>15714.553153713292</v>
      </c>
      <c r="BF7" s="158">
        <f t="shared" si="14"/>
        <v>16663.47066803975</v>
      </c>
      <c r="BG7" s="158">
        <f t="shared" si="15"/>
        <v>15724.036334742565</v>
      </c>
      <c r="BH7" s="158">
        <f t="shared" si="16"/>
        <v>14188.089587087772</v>
      </c>
      <c r="BI7" s="158">
        <f t="shared" si="17"/>
        <v>14217.690564894865</v>
      </c>
      <c r="BJ7" s="159">
        <f t="shared" si="4"/>
        <v>76507.840308478248</v>
      </c>
      <c r="BL7" s="285">
        <f t="shared" si="18"/>
        <v>16.622505113705618</v>
      </c>
      <c r="BM7" s="285">
        <f t="shared" si="18"/>
        <v>17.626248973304271</v>
      </c>
      <c r="BN7" s="285">
        <f t="shared" si="18"/>
        <v>16.632536211861023</v>
      </c>
      <c r="BO7" s="285">
        <f t="shared" si="18"/>
        <v>15.007845874341735</v>
      </c>
      <c r="BP7" s="285">
        <f t="shared" si="18"/>
        <v>15.03915713086657</v>
      </c>
      <c r="BQ7" s="289">
        <f t="shared" si="10"/>
        <v>80.928293304079219</v>
      </c>
      <c r="BR7" s="278"/>
    </row>
    <row r="8" spans="2:70" outlineLevel="1" x14ac:dyDescent="0.3">
      <c r="C8" s="1" t="s">
        <v>48</v>
      </c>
      <c r="D8" s="539"/>
      <c r="E8" s="539"/>
      <c r="F8" s="539"/>
      <c r="G8" s="538"/>
      <c r="H8" s="539"/>
      <c r="I8" s="539"/>
      <c r="J8" s="539"/>
      <c r="K8" s="539"/>
      <c r="L8" s="539"/>
      <c r="M8" s="158"/>
      <c r="N8" s="535"/>
      <c r="O8" s="535"/>
      <c r="P8" s="535"/>
      <c r="Q8" s="538"/>
      <c r="R8" s="539"/>
      <c r="S8" s="539"/>
      <c r="T8" s="539"/>
      <c r="U8" s="539"/>
      <c r="V8" s="539"/>
      <c r="X8" s="539"/>
      <c r="Y8" s="539"/>
      <c r="Z8" s="539"/>
      <c r="AA8" s="538"/>
      <c r="AB8" s="539"/>
      <c r="AC8" s="539"/>
      <c r="AD8" s="539"/>
      <c r="AE8" s="539"/>
      <c r="AF8" s="539"/>
      <c r="AH8" s="159">
        <v>0</v>
      </c>
      <c r="AI8" s="159">
        <v>0</v>
      </c>
      <c r="AJ8" s="159">
        <v>0</v>
      </c>
      <c r="AK8" s="270">
        <v>383.96054005842143</v>
      </c>
      <c r="AL8" s="159">
        <v>0</v>
      </c>
      <c r="AM8" s="159">
        <v>0</v>
      </c>
      <c r="AN8" s="159">
        <v>0</v>
      </c>
      <c r="AO8" s="159">
        <v>0</v>
      </c>
      <c r="AP8" s="158">
        <f t="shared" si="0"/>
        <v>383.96054005842143</v>
      </c>
      <c r="AR8" s="158">
        <f>AH8*AusNet_Overheads!H$20</f>
        <v>0</v>
      </c>
      <c r="AS8" s="158">
        <f>AI8*AusNet_Overheads!I$20</f>
        <v>0</v>
      </c>
      <c r="AT8" s="158">
        <f>AJ8*AusNet_Overheads!J$20</f>
        <v>0</v>
      </c>
      <c r="AU8" s="269">
        <f>AK8*AusNet_Overheads!K$20</f>
        <v>41.034516702329846</v>
      </c>
      <c r="AV8" s="158">
        <f>AL8*AusNet_Overheads!L$20</f>
        <v>0</v>
      </c>
      <c r="AW8" s="158">
        <f>AM8*AusNet_Overheads!M$20</f>
        <v>0</v>
      </c>
      <c r="AX8" s="158">
        <f>AN8*AusNet_Overheads!N$20</f>
        <v>0</v>
      </c>
      <c r="AY8" s="158">
        <f>AO8*AusNet_Overheads!O$20</f>
        <v>0</v>
      </c>
      <c r="AZ8" s="159">
        <f t="shared" si="2"/>
        <v>41.034516702329846</v>
      </c>
      <c r="BB8" s="158">
        <f t="shared" si="19"/>
        <v>0</v>
      </c>
      <c r="BC8" s="158">
        <f t="shared" si="11"/>
        <v>0</v>
      </c>
      <c r="BD8" s="158">
        <f t="shared" si="12"/>
        <v>0</v>
      </c>
      <c r="BE8" s="269">
        <f t="shared" si="13"/>
        <v>424.99505676075125</v>
      </c>
      <c r="BF8" s="158">
        <f t="shared" si="14"/>
        <v>0</v>
      </c>
      <c r="BG8" s="158">
        <f t="shared" si="15"/>
        <v>0</v>
      </c>
      <c r="BH8" s="158">
        <f t="shared" si="16"/>
        <v>0</v>
      </c>
      <c r="BI8" s="158">
        <f t="shared" si="17"/>
        <v>0</v>
      </c>
      <c r="BJ8" s="159">
        <f t="shared" si="4"/>
        <v>424.99505676075125</v>
      </c>
      <c r="BL8" s="285">
        <f t="shared" si="18"/>
        <v>0.44955032670692807</v>
      </c>
      <c r="BM8" s="285">
        <f t="shared" si="18"/>
        <v>0</v>
      </c>
      <c r="BN8" s="285">
        <f t="shared" si="18"/>
        <v>0</v>
      </c>
      <c r="BO8" s="285">
        <f t="shared" si="18"/>
        <v>0</v>
      </c>
      <c r="BP8" s="285">
        <f t="shared" si="18"/>
        <v>0</v>
      </c>
      <c r="BQ8" s="289">
        <f t="shared" si="10"/>
        <v>0.44955032670692807</v>
      </c>
      <c r="BR8" s="278"/>
    </row>
    <row r="9" spans="2:70" outlineLevel="1" x14ac:dyDescent="0.3">
      <c r="C9" s="1" t="s">
        <v>397</v>
      </c>
      <c r="D9" s="539"/>
      <c r="E9" s="539"/>
      <c r="F9" s="539"/>
      <c r="G9" s="538"/>
      <c r="H9" s="539"/>
      <c r="I9" s="539"/>
      <c r="J9" s="539"/>
      <c r="K9" s="539"/>
      <c r="L9" s="539"/>
      <c r="M9" s="158"/>
      <c r="N9" s="535"/>
      <c r="O9" s="535"/>
      <c r="P9" s="535"/>
      <c r="Q9" s="538"/>
      <c r="R9" s="539"/>
      <c r="S9" s="539"/>
      <c r="T9" s="539"/>
      <c r="U9" s="539"/>
      <c r="V9" s="539"/>
      <c r="X9" s="539"/>
      <c r="Y9" s="539"/>
      <c r="Z9" s="539"/>
      <c r="AA9" s="538"/>
      <c r="AB9" s="539"/>
      <c r="AC9" s="539"/>
      <c r="AD9" s="539"/>
      <c r="AE9" s="539"/>
      <c r="AF9" s="539"/>
      <c r="AH9" s="159">
        <v>0</v>
      </c>
      <c r="AI9" s="159">
        <v>0</v>
      </c>
      <c r="AJ9" s="159">
        <v>0</v>
      </c>
      <c r="AK9" s="270">
        <v>0</v>
      </c>
      <c r="AL9" s="159">
        <v>0</v>
      </c>
      <c r="AM9" s="159">
        <v>0</v>
      </c>
      <c r="AN9" s="159">
        <v>0</v>
      </c>
      <c r="AO9" s="159">
        <v>0</v>
      </c>
      <c r="AP9" s="158">
        <f t="shared" ref="AP9" si="20">SUM(AK9:AO9)</f>
        <v>0</v>
      </c>
      <c r="AR9" s="164"/>
      <c r="AS9" s="164"/>
      <c r="AT9" s="164"/>
      <c r="AU9" s="288"/>
      <c r="AV9" s="164"/>
      <c r="AW9" s="164"/>
      <c r="AX9" s="164"/>
      <c r="AY9" s="164"/>
      <c r="AZ9" s="159">
        <f t="shared" ref="AZ9" si="21">SUM(AU9:AY9)</f>
        <v>0</v>
      </c>
      <c r="BB9" s="158">
        <f t="shared" si="19"/>
        <v>0</v>
      </c>
      <c r="BC9" s="158">
        <f t="shared" si="11"/>
        <v>0</v>
      </c>
      <c r="BD9" s="158">
        <f t="shared" si="12"/>
        <v>0</v>
      </c>
      <c r="BE9" s="269">
        <f t="shared" si="13"/>
        <v>0</v>
      </c>
      <c r="BF9" s="158">
        <f t="shared" si="14"/>
        <v>0</v>
      </c>
      <c r="BG9" s="158">
        <f t="shared" si="15"/>
        <v>0</v>
      </c>
      <c r="BH9" s="158">
        <f t="shared" si="16"/>
        <v>0</v>
      </c>
      <c r="BI9" s="158">
        <f t="shared" si="17"/>
        <v>0</v>
      </c>
      <c r="BJ9" s="159">
        <f t="shared" ref="BJ9" si="22">SUM(BE9:BI9)</f>
        <v>0</v>
      </c>
      <c r="BL9" s="285">
        <f t="shared" ref="BL9" si="23">BE9*$BL$2/Thousands</f>
        <v>0</v>
      </c>
      <c r="BM9" s="285">
        <f t="shared" ref="BM9" si="24">BF9*$BL$2/Thousands</f>
        <v>0</v>
      </c>
      <c r="BN9" s="285">
        <f t="shared" ref="BN9" si="25">BG9*$BL$2/Thousands</f>
        <v>0</v>
      </c>
      <c r="BO9" s="285">
        <f t="shared" ref="BO9" si="26">BH9*$BL$2/Thousands</f>
        <v>0</v>
      </c>
      <c r="BP9" s="285">
        <f t="shared" ref="BP9" si="27">BI9*$BL$2/Thousands</f>
        <v>0</v>
      </c>
      <c r="BQ9" s="289">
        <f t="shared" si="10"/>
        <v>0</v>
      </c>
      <c r="BR9" s="278"/>
    </row>
    <row r="10" spans="2:70" x14ac:dyDescent="0.3">
      <c r="B10" s="251" t="s">
        <v>495</v>
      </c>
      <c r="D10" s="539"/>
      <c r="E10" s="539"/>
      <c r="F10" s="539"/>
      <c r="G10" s="538"/>
      <c r="H10" s="539"/>
      <c r="I10" s="539"/>
      <c r="J10" s="539"/>
      <c r="K10" s="539"/>
      <c r="L10" s="539"/>
      <c r="M10" s="158"/>
      <c r="N10" s="539"/>
      <c r="O10" s="539"/>
      <c r="P10" s="539"/>
      <c r="Q10" s="538"/>
      <c r="R10" s="539"/>
      <c r="S10" s="539"/>
      <c r="T10" s="539"/>
      <c r="U10" s="539"/>
      <c r="V10" s="539"/>
      <c r="X10" s="539"/>
      <c r="Y10" s="539"/>
      <c r="Z10" s="539"/>
      <c r="AA10" s="538"/>
      <c r="AB10" s="539"/>
      <c r="AC10" s="539"/>
      <c r="AD10" s="539"/>
      <c r="AE10" s="539"/>
      <c r="AF10" s="539"/>
      <c r="AH10" s="158">
        <v>0</v>
      </c>
      <c r="AI10" s="158">
        <v>0</v>
      </c>
      <c r="AJ10" s="158">
        <v>0</v>
      </c>
      <c r="AK10" s="269">
        <v>0</v>
      </c>
      <c r="AL10" s="158">
        <v>0</v>
      </c>
      <c r="AM10" s="158">
        <v>0</v>
      </c>
      <c r="AN10" s="158">
        <v>0</v>
      </c>
      <c r="AO10" s="158">
        <v>0</v>
      </c>
      <c r="AP10" s="158">
        <f t="shared" si="0"/>
        <v>0</v>
      </c>
      <c r="AR10" s="158">
        <f>SUBTOTAL(9,AR11:AR13)</f>
        <v>0</v>
      </c>
      <c r="AS10" s="158">
        <f t="shared" ref="AS10:AT10" si="28">SUBTOTAL(9,AS11:AS13)</f>
        <v>0</v>
      </c>
      <c r="AT10" s="158">
        <f t="shared" si="28"/>
        <v>0</v>
      </c>
      <c r="AU10" s="269">
        <f t="shared" ref="AU10" si="29">SUBTOTAL(9,AU11:AU13)</f>
        <v>0</v>
      </c>
      <c r="AV10" s="158">
        <f t="shared" ref="AV10" si="30">SUBTOTAL(9,AV11:AV13)</f>
        <v>0</v>
      </c>
      <c r="AW10" s="158">
        <f t="shared" ref="AW10" si="31">SUBTOTAL(9,AW11:AW13)</f>
        <v>0</v>
      </c>
      <c r="AX10" s="158">
        <f t="shared" ref="AX10" si="32">SUBTOTAL(9,AX11:AX13)</f>
        <v>0</v>
      </c>
      <c r="AY10" s="158">
        <f t="shared" ref="AY10" si="33">SUBTOTAL(9,AY11:AY13)</f>
        <v>0</v>
      </c>
      <c r="AZ10" s="158">
        <f t="shared" si="2"/>
        <v>0</v>
      </c>
      <c r="BB10" s="158">
        <f>SUBTOTAL(9,BB11:BB13)</f>
        <v>0</v>
      </c>
      <c r="BC10" s="158">
        <f t="shared" ref="BC10" si="34">SUBTOTAL(9,BC11:BC13)</f>
        <v>0</v>
      </c>
      <c r="BD10" s="158">
        <f t="shared" ref="BD10" si="35">SUBTOTAL(9,BD11:BD13)</f>
        <v>0</v>
      </c>
      <c r="BE10" s="269">
        <f t="shared" ref="BE10" si="36">SUBTOTAL(9,BE11:BE13)</f>
        <v>0</v>
      </c>
      <c r="BF10" s="158">
        <f t="shared" ref="BF10" si="37">SUBTOTAL(9,BF11:BF13)</f>
        <v>0</v>
      </c>
      <c r="BG10" s="158">
        <f t="shared" ref="BG10" si="38">SUBTOTAL(9,BG11:BG13)</f>
        <v>0</v>
      </c>
      <c r="BH10" s="158">
        <f t="shared" ref="BH10" si="39">SUBTOTAL(9,BH11:BH13)</f>
        <v>0</v>
      </c>
      <c r="BI10" s="158">
        <f t="shared" ref="BI10" si="40">SUBTOTAL(9,BI11:BI13)</f>
        <v>0</v>
      </c>
      <c r="BJ10" s="158">
        <f t="shared" si="4"/>
        <v>0</v>
      </c>
      <c r="BL10" s="285">
        <f t="shared" si="18"/>
        <v>0</v>
      </c>
      <c r="BM10" s="285">
        <f t="shared" si="18"/>
        <v>0</v>
      </c>
      <c r="BN10" s="285">
        <f t="shared" si="18"/>
        <v>0</v>
      </c>
      <c r="BO10" s="285">
        <f t="shared" si="18"/>
        <v>0</v>
      </c>
      <c r="BP10" s="285">
        <f t="shared" si="18"/>
        <v>0</v>
      </c>
      <c r="BQ10" s="289">
        <f t="shared" si="10"/>
        <v>0</v>
      </c>
      <c r="BR10" s="278"/>
    </row>
    <row r="11" spans="2:70" outlineLevel="1" x14ac:dyDescent="0.3">
      <c r="C11" s="1" t="s">
        <v>44</v>
      </c>
      <c r="D11" s="539"/>
      <c r="E11" s="539"/>
      <c r="F11" s="539"/>
      <c r="G11" s="538"/>
      <c r="H11" s="539"/>
      <c r="I11" s="539"/>
      <c r="J11" s="539"/>
      <c r="K11" s="539"/>
      <c r="L11" s="539"/>
      <c r="M11" s="158"/>
      <c r="N11" s="535"/>
      <c r="O11" s="535"/>
      <c r="P11" s="535"/>
      <c r="Q11" s="534"/>
      <c r="R11" s="535"/>
      <c r="S11" s="535"/>
      <c r="T11" s="535"/>
      <c r="U11" s="535"/>
      <c r="V11" s="539"/>
      <c r="X11" s="539"/>
      <c r="Y11" s="539"/>
      <c r="Z11" s="539"/>
      <c r="AA11" s="538"/>
      <c r="AB11" s="539"/>
      <c r="AC11" s="539"/>
      <c r="AD11" s="539"/>
      <c r="AE11" s="539"/>
      <c r="AF11" s="539"/>
      <c r="AH11" s="159">
        <v>0</v>
      </c>
      <c r="AI11" s="159">
        <v>0</v>
      </c>
      <c r="AJ11" s="159">
        <v>0</v>
      </c>
      <c r="AK11" s="270">
        <v>0</v>
      </c>
      <c r="AL11" s="159">
        <v>0</v>
      </c>
      <c r="AM11" s="159">
        <v>0</v>
      </c>
      <c r="AN11" s="159">
        <v>0</v>
      </c>
      <c r="AO11" s="159">
        <v>0</v>
      </c>
      <c r="AP11" s="158">
        <f t="shared" si="0"/>
        <v>0</v>
      </c>
      <c r="AR11" s="158">
        <f>AH11*AusNet_Overheads!H$20</f>
        <v>0</v>
      </c>
      <c r="AS11" s="158">
        <f>AI11*AusNet_Overheads!I$20</f>
        <v>0</v>
      </c>
      <c r="AT11" s="158">
        <f>AJ11*AusNet_Overheads!J$20</f>
        <v>0</v>
      </c>
      <c r="AU11" s="269">
        <f>AK11*AusNet_Overheads!K$20</f>
        <v>0</v>
      </c>
      <c r="AV11" s="158">
        <f>AL11*AusNet_Overheads!L$20</f>
        <v>0</v>
      </c>
      <c r="AW11" s="158">
        <f>AM11*AusNet_Overheads!M$20</f>
        <v>0</v>
      </c>
      <c r="AX11" s="158">
        <f>AN11*AusNet_Overheads!N$20</f>
        <v>0</v>
      </c>
      <c r="AY11" s="158">
        <f>AO11*AusNet_Overheads!O$20</f>
        <v>0</v>
      </c>
      <c r="AZ11" s="159">
        <f t="shared" si="2"/>
        <v>0</v>
      </c>
      <c r="BB11" s="158">
        <f t="shared" ref="BB11:BB13" si="41">AR11+AH11</f>
        <v>0</v>
      </c>
      <c r="BC11" s="158">
        <f t="shared" ref="BC11:BC13" si="42">AS11+AI11</f>
        <v>0</v>
      </c>
      <c r="BD11" s="158">
        <f t="shared" ref="BD11:BD13" si="43">AT11+AJ11</f>
        <v>0</v>
      </c>
      <c r="BE11" s="269">
        <f t="shared" ref="BE11:BE13" si="44">AU11+AK11</f>
        <v>0</v>
      </c>
      <c r="BF11" s="158">
        <f t="shared" ref="BF11:BF13" si="45">AV11+AL11</f>
        <v>0</v>
      </c>
      <c r="BG11" s="158">
        <f t="shared" ref="BG11:BG13" si="46">AW11+AM11</f>
        <v>0</v>
      </c>
      <c r="BH11" s="158">
        <f t="shared" ref="BH11:BH13" si="47">AX11+AN11</f>
        <v>0</v>
      </c>
      <c r="BI11" s="158">
        <f t="shared" ref="BI11:BI13" si="48">AY11+AO11</f>
        <v>0</v>
      </c>
      <c r="BJ11" s="159">
        <f t="shared" si="4"/>
        <v>0</v>
      </c>
      <c r="BL11" s="285">
        <f t="shared" ref="BL11:BP14" si="49">BE11*$BL$2/Thousands</f>
        <v>0</v>
      </c>
      <c r="BM11" s="285">
        <f t="shared" si="49"/>
        <v>0</v>
      </c>
      <c r="BN11" s="285">
        <f t="shared" si="49"/>
        <v>0</v>
      </c>
      <c r="BO11" s="285">
        <f t="shared" si="49"/>
        <v>0</v>
      </c>
      <c r="BP11" s="285">
        <f t="shared" si="49"/>
        <v>0</v>
      </c>
      <c r="BQ11" s="289">
        <f t="shared" si="10"/>
        <v>0</v>
      </c>
      <c r="BR11" s="278"/>
    </row>
    <row r="12" spans="2:70" outlineLevel="1" x14ac:dyDescent="0.3">
      <c r="C12" s="1" t="s">
        <v>45</v>
      </c>
      <c r="D12" s="539"/>
      <c r="E12" s="539"/>
      <c r="F12" s="539"/>
      <c r="G12" s="538"/>
      <c r="H12" s="539"/>
      <c r="I12" s="539"/>
      <c r="J12" s="539"/>
      <c r="K12" s="539"/>
      <c r="L12" s="539"/>
      <c r="M12" s="158"/>
      <c r="N12" s="535"/>
      <c r="O12" s="535"/>
      <c r="P12" s="535"/>
      <c r="Q12" s="534"/>
      <c r="R12" s="535"/>
      <c r="S12" s="535"/>
      <c r="T12" s="535"/>
      <c r="U12" s="535"/>
      <c r="V12" s="539"/>
      <c r="X12" s="539"/>
      <c r="Y12" s="539"/>
      <c r="Z12" s="539"/>
      <c r="AA12" s="538"/>
      <c r="AB12" s="539"/>
      <c r="AC12" s="539"/>
      <c r="AD12" s="539"/>
      <c r="AE12" s="539"/>
      <c r="AF12" s="539"/>
      <c r="AH12" s="159">
        <v>0</v>
      </c>
      <c r="AI12" s="159">
        <v>0</v>
      </c>
      <c r="AJ12" s="159">
        <v>0</v>
      </c>
      <c r="AK12" s="270">
        <v>0</v>
      </c>
      <c r="AL12" s="159">
        <v>0</v>
      </c>
      <c r="AM12" s="159">
        <v>0</v>
      </c>
      <c r="AN12" s="159">
        <v>0</v>
      </c>
      <c r="AO12" s="159">
        <v>0</v>
      </c>
      <c r="AP12" s="158">
        <f t="shared" si="0"/>
        <v>0</v>
      </c>
      <c r="AR12" s="158">
        <f>AH12*AusNet_Overheads!H$20</f>
        <v>0</v>
      </c>
      <c r="AS12" s="158">
        <f>AI12*AusNet_Overheads!I$20</f>
        <v>0</v>
      </c>
      <c r="AT12" s="158">
        <f>AJ12*AusNet_Overheads!J$20</f>
        <v>0</v>
      </c>
      <c r="AU12" s="269">
        <f>AK12*AusNet_Overheads!K$20</f>
        <v>0</v>
      </c>
      <c r="AV12" s="158">
        <f>AL12*AusNet_Overheads!L$20</f>
        <v>0</v>
      </c>
      <c r="AW12" s="158">
        <f>AM12*AusNet_Overheads!M$20</f>
        <v>0</v>
      </c>
      <c r="AX12" s="158">
        <f>AN12*AusNet_Overheads!N$20</f>
        <v>0</v>
      </c>
      <c r="AY12" s="158">
        <f>AO12*AusNet_Overheads!O$20</f>
        <v>0</v>
      </c>
      <c r="AZ12" s="159">
        <f t="shared" si="2"/>
        <v>0</v>
      </c>
      <c r="BB12" s="158">
        <f t="shared" si="41"/>
        <v>0</v>
      </c>
      <c r="BC12" s="158">
        <f t="shared" si="42"/>
        <v>0</v>
      </c>
      <c r="BD12" s="158">
        <f t="shared" si="43"/>
        <v>0</v>
      </c>
      <c r="BE12" s="269">
        <f t="shared" si="44"/>
        <v>0</v>
      </c>
      <c r="BF12" s="158">
        <f t="shared" si="45"/>
        <v>0</v>
      </c>
      <c r="BG12" s="158">
        <f t="shared" si="46"/>
        <v>0</v>
      </c>
      <c r="BH12" s="158">
        <f t="shared" si="47"/>
        <v>0</v>
      </c>
      <c r="BI12" s="158">
        <f t="shared" si="48"/>
        <v>0</v>
      </c>
      <c r="BJ12" s="159">
        <f t="shared" si="4"/>
        <v>0</v>
      </c>
      <c r="BL12" s="285">
        <f t="shared" si="49"/>
        <v>0</v>
      </c>
      <c r="BM12" s="285">
        <f t="shared" si="49"/>
        <v>0</v>
      </c>
      <c r="BN12" s="285">
        <f t="shared" si="49"/>
        <v>0</v>
      </c>
      <c r="BO12" s="285">
        <f t="shared" si="49"/>
        <v>0</v>
      </c>
      <c r="BP12" s="285">
        <f t="shared" si="49"/>
        <v>0</v>
      </c>
      <c r="BQ12" s="289">
        <f t="shared" si="10"/>
        <v>0</v>
      </c>
      <c r="BR12" s="278"/>
    </row>
    <row r="13" spans="2:70" outlineLevel="1" x14ac:dyDescent="0.3">
      <c r="C13" s="1" t="s">
        <v>48</v>
      </c>
      <c r="D13" s="539"/>
      <c r="E13" s="539"/>
      <c r="F13" s="539"/>
      <c r="G13" s="538"/>
      <c r="H13" s="539"/>
      <c r="I13" s="539"/>
      <c r="J13" s="539"/>
      <c r="K13" s="539"/>
      <c r="L13" s="539"/>
      <c r="M13" s="158"/>
      <c r="N13" s="535"/>
      <c r="O13" s="535"/>
      <c r="P13" s="535"/>
      <c r="Q13" s="534"/>
      <c r="R13" s="535"/>
      <c r="S13" s="535"/>
      <c r="T13" s="535"/>
      <c r="U13" s="535"/>
      <c r="V13" s="539"/>
      <c r="X13" s="539"/>
      <c r="Y13" s="539"/>
      <c r="Z13" s="539"/>
      <c r="AA13" s="538"/>
      <c r="AB13" s="539"/>
      <c r="AC13" s="539"/>
      <c r="AD13" s="539"/>
      <c r="AE13" s="539"/>
      <c r="AF13" s="539"/>
      <c r="AH13" s="159">
        <v>0</v>
      </c>
      <c r="AI13" s="159">
        <v>0</v>
      </c>
      <c r="AJ13" s="159">
        <v>0</v>
      </c>
      <c r="AK13" s="270">
        <v>0</v>
      </c>
      <c r="AL13" s="159">
        <v>0</v>
      </c>
      <c r="AM13" s="159">
        <v>0</v>
      </c>
      <c r="AN13" s="159">
        <v>0</v>
      </c>
      <c r="AO13" s="159">
        <v>0</v>
      </c>
      <c r="AP13" s="158">
        <f t="shared" si="0"/>
        <v>0</v>
      </c>
      <c r="AR13" s="158">
        <f>AH13*AusNet_Overheads!H$20</f>
        <v>0</v>
      </c>
      <c r="AS13" s="158">
        <f>AI13*AusNet_Overheads!I$20</f>
        <v>0</v>
      </c>
      <c r="AT13" s="158">
        <f>AJ13*AusNet_Overheads!J$20</f>
        <v>0</v>
      </c>
      <c r="AU13" s="269">
        <f>AK13*AusNet_Overheads!K$20</f>
        <v>0</v>
      </c>
      <c r="AV13" s="158">
        <f>AL13*AusNet_Overheads!L$20</f>
        <v>0</v>
      </c>
      <c r="AW13" s="158">
        <f>AM13*AusNet_Overheads!M$20</f>
        <v>0</v>
      </c>
      <c r="AX13" s="158">
        <f>AN13*AusNet_Overheads!N$20</f>
        <v>0</v>
      </c>
      <c r="AY13" s="158">
        <f>AO13*AusNet_Overheads!O$20</f>
        <v>0</v>
      </c>
      <c r="AZ13" s="159">
        <f t="shared" si="2"/>
        <v>0</v>
      </c>
      <c r="BB13" s="158">
        <f t="shared" si="41"/>
        <v>0</v>
      </c>
      <c r="BC13" s="158">
        <f t="shared" si="42"/>
        <v>0</v>
      </c>
      <c r="BD13" s="158">
        <f t="shared" si="43"/>
        <v>0</v>
      </c>
      <c r="BE13" s="269">
        <f t="shared" si="44"/>
        <v>0</v>
      </c>
      <c r="BF13" s="158">
        <f t="shared" si="45"/>
        <v>0</v>
      </c>
      <c r="BG13" s="158">
        <f t="shared" si="46"/>
        <v>0</v>
      </c>
      <c r="BH13" s="158">
        <f t="shared" si="47"/>
        <v>0</v>
      </c>
      <c r="BI13" s="158">
        <f t="shared" si="48"/>
        <v>0</v>
      </c>
      <c r="BJ13" s="159">
        <f t="shared" si="4"/>
        <v>0</v>
      </c>
      <c r="BL13" s="285">
        <f t="shared" si="49"/>
        <v>0</v>
      </c>
      <c r="BM13" s="285">
        <f t="shared" si="49"/>
        <v>0</v>
      </c>
      <c r="BN13" s="285">
        <f t="shared" si="49"/>
        <v>0</v>
      </c>
      <c r="BO13" s="285">
        <f t="shared" si="49"/>
        <v>0</v>
      </c>
      <c r="BP13" s="285">
        <f t="shared" si="49"/>
        <v>0</v>
      </c>
      <c r="BQ13" s="289">
        <f t="shared" si="10"/>
        <v>0</v>
      </c>
      <c r="BR13" s="278"/>
    </row>
    <row r="14" spans="2:70" x14ac:dyDescent="0.3">
      <c r="B14" s="251" t="s">
        <v>26</v>
      </c>
      <c r="D14" s="539"/>
      <c r="E14" s="539"/>
      <c r="F14" s="539"/>
      <c r="G14" s="538"/>
      <c r="H14" s="539"/>
      <c r="I14" s="539"/>
      <c r="J14" s="539"/>
      <c r="K14" s="539"/>
      <c r="L14" s="539"/>
      <c r="N14" s="539"/>
      <c r="O14" s="539"/>
      <c r="P14" s="539"/>
      <c r="Q14" s="538"/>
      <c r="R14" s="539"/>
      <c r="S14" s="539"/>
      <c r="T14" s="539"/>
      <c r="U14" s="539"/>
      <c r="V14" s="539"/>
      <c r="X14" s="539"/>
      <c r="Y14" s="539"/>
      <c r="Z14" s="539"/>
      <c r="AA14" s="538"/>
      <c r="AB14" s="539"/>
      <c r="AC14" s="539"/>
      <c r="AD14" s="539"/>
      <c r="AE14" s="539"/>
      <c r="AF14" s="539"/>
      <c r="AH14" s="158">
        <v>0</v>
      </c>
      <c r="AI14" s="158">
        <v>0</v>
      </c>
      <c r="AJ14" s="158">
        <v>0</v>
      </c>
      <c r="AK14" s="269">
        <v>101128.65715079279</v>
      </c>
      <c r="AL14" s="158">
        <v>99825.571665154712</v>
      </c>
      <c r="AM14" s="158">
        <v>98626.565511159599</v>
      </c>
      <c r="AN14" s="158">
        <v>99923.66326142507</v>
      </c>
      <c r="AO14" s="158">
        <v>101171.08949052787</v>
      </c>
      <c r="AP14" s="158">
        <f t="shared" si="0"/>
        <v>500675.54707905999</v>
      </c>
      <c r="AR14" s="158">
        <f>SUBTOTAL(9,AR15:AR16)</f>
        <v>0</v>
      </c>
      <c r="AS14" s="158">
        <f t="shared" ref="AS14:AT14" si="50">SUBTOTAL(9,AS15:AS16)</f>
        <v>0</v>
      </c>
      <c r="AT14" s="158">
        <f t="shared" si="50"/>
        <v>0</v>
      </c>
      <c r="AU14" s="269">
        <f t="shared" ref="AU14" si="51">SUBTOTAL(9,AU15:AU16)</f>
        <v>6274.9442972362012</v>
      </c>
      <c r="AV14" s="158">
        <f t="shared" ref="AV14" si="52">SUBTOTAL(9,AV15:AV16)</f>
        <v>6047.3654567479698</v>
      </c>
      <c r="AW14" s="158">
        <f t="shared" ref="AW14" si="53">SUBTOTAL(9,AW15:AW16)</f>
        <v>6017.6518325100824</v>
      </c>
      <c r="AX14" s="158">
        <f t="shared" ref="AX14" si="54">SUBTOTAL(9,AX15:AX16)</f>
        <v>6264.6214616018297</v>
      </c>
      <c r="AY14" s="158">
        <f t="shared" ref="AY14" si="55">SUBTOTAL(9,AY15:AY16)</f>
        <v>6434.4190379748688</v>
      </c>
      <c r="AZ14" s="158">
        <f t="shared" si="2"/>
        <v>31039.002086070952</v>
      </c>
      <c r="BB14" s="158">
        <f>SUBTOTAL(9,BB15:BB16)</f>
        <v>0</v>
      </c>
      <c r="BC14" s="158">
        <f t="shared" ref="BC14" si="56">SUBTOTAL(9,BC15:BC16)</f>
        <v>0</v>
      </c>
      <c r="BD14" s="158">
        <f t="shared" ref="BD14" si="57">SUBTOTAL(9,BD15:BD16)</f>
        <v>0</v>
      </c>
      <c r="BE14" s="269">
        <f t="shared" ref="BE14" si="58">SUBTOTAL(9,BE15:BE16)</f>
        <v>107403.601448029</v>
      </c>
      <c r="BF14" s="158">
        <f t="shared" ref="BF14" si="59">SUBTOTAL(9,BF15:BF16)</f>
        <v>105872.93712190268</v>
      </c>
      <c r="BG14" s="158">
        <f t="shared" ref="BG14" si="60">SUBTOTAL(9,BG15:BG16)</f>
        <v>104644.21734366968</v>
      </c>
      <c r="BH14" s="158">
        <f t="shared" ref="BH14" si="61">SUBTOTAL(9,BH15:BH16)</f>
        <v>106188.28472302691</v>
      </c>
      <c r="BI14" s="158">
        <f t="shared" ref="BI14" si="62">SUBTOTAL(9,BI15:BI16)</f>
        <v>107605.50852850275</v>
      </c>
      <c r="BJ14" s="158">
        <f t="shared" si="4"/>
        <v>531714.54916513106</v>
      </c>
      <c r="BL14" s="285">
        <f t="shared" si="49"/>
        <v>113.60914286502626</v>
      </c>
      <c r="BM14" s="285">
        <f t="shared" si="49"/>
        <v>111.99004015561263</v>
      </c>
      <c r="BN14" s="285">
        <f t="shared" si="49"/>
        <v>110.69032767908172</v>
      </c>
      <c r="BO14" s="285">
        <f t="shared" si="49"/>
        <v>112.32360784035738</v>
      </c>
      <c r="BP14" s="285">
        <f t="shared" si="49"/>
        <v>113.82271568792737</v>
      </c>
      <c r="BQ14" s="289">
        <f t="shared" si="10"/>
        <v>562.43583422800543</v>
      </c>
    </row>
    <row r="15" spans="2:70" outlineLevel="1" x14ac:dyDescent="0.3">
      <c r="C15" s="1" t="s">
        <v>44</v>
      </c>
      <c r="D15" s="539"/>
      <c r="E15" s="539"/>
      <c r="F15" s="539"/>
      <c r="G15" s="538"/>
      <c r="H15" s="539"/>
      <c r="I15" s="539"/>
      <c r="J15" s="539"/>
      <c r="K15" s="539"/>
      <c r="L15" s="539"/>
      <c r="M15" s="158"/>
      <c r="N15" s="535"/>
      <c r="O15" s="535"/>
      <c r="P15" s="535"/>
      <c r="Q15" s="534"/>
      <c r="R15" s="535"/>
      <c r="S15" s="535"/>
      <c r="T15" s="535"/>
      <c r="U15" s="535"/>
      <c r="V15" s="539"/>
      <c r="X15" s="539"/>
      <c r="Y15" s="539"/>
      <c r="Z15" s="539"/>
      <c r="AA15" s="538"/>
      <c r="AB15" s="539"/>
      <c r="AC15" s="539"/>
      <c r="AD15" s="539"/>
      <c r="AE15" s="539"/>
      <c r="AF15" s="539"/>
      <c r="AH15" s="159">
        <v>0</v>
      </c>
      <c r="AI15" s="159">
        <v>0</v>
      </c>
      <c r="AJ15" s="159">
        <v>0</v>
      </c>
      <c r="AK15" s="270">
        <v>14726.331290236154</v>
      </c>
      <c r="AL15" s="159">
        <v>12697.013658572454</v>
      </c>
      <c r="AM15" s="159">
        <v>10646.335579325672</v>
      </c>
      <c r="AN15" s="159">
        <v>10690.871715743113</v>
      </c>
      <c r="AO15" s="159">
        <v>10731.798604129874</v>
      </c>
      <c r="AP15" s="158">
        <f t="shared" si="0"/>
        <v>59492.350848007263</v>
      </c>
      <c r="AR15" s="532"/>
      <c r="AS15" s="532"/>
      <c r="AT15" s="532"/>
      <c r="AU15" s="533">
        <v>563.7789809229198</v>
      </c>
      <c r="AV15" s="532">
        <v>560.94304322409141</v>
      </c>
      <c r="AW15" s="532">
        <v>580.12868423820305</v>
      </c>
      <c r="AX15" s="532">
        <v>608.21379083266038</v>
      </c>
      <c r="AY15" s="532">
        <v>626.05276495374642</v>
      </c>
      <c r="AZ15" s="159">
        <f t="shared" si="2"/>
        <v>2939.1172641716212</v>
      </c>
      <c r="BB15" s="158">
        <f t="shared" ref="BB15:BB17" si="63">AR15+AH15</f>
        <v>0</v>
      </c>
      <c r="BC15" s="158">
        <f t="shared" ref="BC15:BC17" si="64">AS15+AI15</f>
        <v>0</v>
      </c>
      <c r="BD15" s="158">
        <f t="shared" ref="BD15:BD17" si="65">AT15+AJ15</f>
        <v>0</v>
      </c>
      <c r="BE15" s="269">
        <f t="shared" ref="BE15:BE17" si="66">AU15+AK15</f>
        <v>15290.110271159074</v>
      </c>
      <c r="BF15" s="158">
        <f t="shared" ref="BF15:BF17" si="67">AV15+AL15</f>
        <v>13257.956701796546</v>
      </c>
      <c r="BG15" s="158">
        <f t="shared" ref="BG15:BG17" si="68">AW15+AM15</f>
        <v>11226.464263563876</v>
      </c>
      <c r="BH15" s="158">
        <f t="shared" ref="BH15:BH17" si="69">AX15+AN15</f>
        <v>11299.085506575773</v>
      </c>
      <c r="BI15" s="158">
        <f t="shared" ref="BI15:BI17" si="70">AY15+AO15</f>
        <v>11357.851369083621</v>
      </c>
      <c r="BJ15" s="159">
        <f t="shared" si="4"/>
        <v>62431.468112178882</v>
      </c>
      <c r="BL15" s="285">
        <f t="shared" ref="BL15:BP16" si="71">BE15*$BL$2/Thousands</f>
        <v>16.173538864603824</v>
      </c>
      <c r="BM15" s="285">
        <f t="shared" si="71"/>
        <v>14.023971977900349</v>
      </c>
      <c r="BN15" s="285">
        <f t="shared" si="71"/>
        <v>11.875104421014235</v>
      </c>
      <c r="BO15" s="285">
        <f t="shared" si="71"/>
        <v>11.951921558066818</v>
      </c>
      <c r="BP15" s="285">
        <f t="shared" si="71"/>
        <v>12.014082781519564</v>
      </c>
      <c r="BQ15" s="289">
        <f t="shared" si="10"/>
        <v>66.038619603104792</v>
      </c>
      <c r="BR15" s="278"/>
    </row>
    <row r="16" spans="2:70" outlineLevel="1" x14ac:dyDescent="0.3">
      <c r="C16" s="1" t="s">
        <v>45</v>
      </c>
      <c r="D16" s="539"/>
      <c r="E16" s="539"/>
      <c r="F16" s="539"/>
      <c r="G16" s="538"/>
      <c r="H16" s="539"/>
      <c r="I16" s="539"/>
      <c r="J16" s="539"/>
      <c r="K16" s="539"/>
      <c r="L16" s="539"/>
      <c r="M16" s="158"/>
      <c r="N16" s="535"/>
      <c r="O16" s="535"/>
      <c r="P16" s="535"/>
      <c r="Q16" s="534"/>
      <c r="R16" s="535"/>
      <c r="S16" s="535"/>
      <c r="T16" s="535"/>
      <c r="U16" s="535"/>
      <c r="V16" s="539"/>
      <c r="X16" s="539"/>
      <c r="Y16" s="539"/>
      <c r="Z16" s="539"/>
      <c r="AA16" s="538"/>
      <c r="AB16" s="539"/>
      <c r="AC16" s="539"/>
      <c r="AD16" s="539"/>
      <c r="AE16" s="539"/>
      <c r="AF16" s="539"/>
      <c r="AH16" s="159">
        <v>0</v>
      </c>
      <c r="AI16" s="159">
        <v>0</v>
      </c>
      <c r="AJ16" s="159">
        <v>0</v>
      </c>
      <c r="AK16" s="270">
        <v>86402.325860556637</v>
      </c>
      <c r="AL16" s="159">
        <v>87128.558006582258</v>
      </c>
      <c r="AM16" s="159">
        <v>87980.229931833921</v>
      </c>
      <c r="AN16" s="159">
        <v>89232.791545681961</v>
      </c>
      <c r="AO16" s="159">
        <v>90439.290886397997</v>
      </c>
      <c r="AP16" s="158">
        <f t="shared" si="0"/>
        <v>441183.19623105275</v>
      </c>
      <c r="AR16" s="532"/>
      <c r="AS16" s="532"/>
      <c r="AT16" s="532"/>
      <c r="AU16" s="533">
        <v>5711.1653163132814</v>
      </c>
      <c r="AV16" s="532">
        <v>5486.4224135238783</v>
      </c>
      <c r="AW16" s="532">
        <v>5437.5231482718791</v>
      </c>
      <c r="AX16" s="532">
        <v>5656.4076707691693</v>
      </c>
      <c r="AY16" s="532">
        <v>5808.3662730211227</v>
      </c>
      <c r="AZ16" s="159">
        <f t="shared" si="2"/>
        <v>28099.88482189933</v>
      </c>
      <c r="BB16" s="158">
        <f t="shared" si="63"/>
        <v>0</v>
      </c>
      <c r="BC16" s="158">
        <f t="shared" si="64"/>
        <v>0</v>
      </c>
      <c r="BD16" s="158">
        <f t="shared" si="65"/>
        <v>0</v>
      </c>
      <c r="BE16" s="269">
        <f t="shared" si="66"/>
        <v>92113.491176869924</v>
      </c>
      <c r="BF16" s="158">
        <f t="shared" si="67"/>
        <v>92614.980420106134</v>
      </c>
      <c r="BG16" s="158">
        <f t="shared" si="68"/>
        <v>93417.753080105802</v>
      </c>
      <c r="BH16" s="158">
        <f t="shared" si="69"/>
        <v>94889.199216451132</v>
      </c>
      <c r="BI16" s="158">
        <f t="shared" si="70"/>
        <v>96247.657159419119</v>
      </c>
      <c r="BJ16" s="159">
        <f t="shared" si="4"/>
        <v>469283.0810529521</v>
      </c>
      <c r="BL16" s="285">
        <f t="shared" si="71"/>
        <v>97.435604000422416</v>
      </c>
      <c r="BM16" s="285">
        <f t="shared" si="71"/>
        <v>97.966068177712287</v>
      </c>
      <c r="BN16" s="285">
        <f t="shared" si="71"/>
        <v>98.815223258067491</v>
      </c>
      <c r="BO16" s="285">
        <f t="shared" si="71"/>
        <v>100.37168628229054</v>
      </c>
      <c r="BP16" s="285">
        <f t="shared" si="71"/>
        <v>101.80863290640778</v>
      </c>
      <c r="BQ16" s="289">
        <f t="shared" si="10"/>
        <v>496.39721462490047</v>
      </c>
      <c r="BR16" s="278"/>
    </row>
    <row r="17" spans="2:70" outlineLevel="1" x14ac:dyDescent="0.3">
      <c r="C17" s="1" t="s">
        <v>48</v>
      </c>
      <c r="D17" s="539"/>
      <c r="E17" s="539"/>
      <c r="F17" s="539"/>
      <c r="G17" s="538"/>
      <c r="H17" s="539"/>
      <c r="I17" s="539"/>
      <c r="J17" s="539"/>
      <c r="K17" s="539"/>
      <c r="L17" s="539"/>
      <c r="M17" s="158"/>
      <c r="N17" s="535"/>
      <c r="O17" s="535"/>
      <c r="P17" s="535"/>
      <c r="Q17" s="534"/>
      <c r="R17" s="535"/>
      <c r="S17" s="535"/>
      <c r="T17" s="535"/>
      <c r="U17" s="535"/>
      <c r="V17" s="539"/>
      <c r="X17" s="539"/>
      <c r="Y17" s="539"/>
      <c r="Z17" s="539"/>
      <c r="AA17" s="538"/>
      <c r="AB17" s="539"/>
      <c r="AC17" s="539"/>
      <c r="AD17" s="539"/>
      <c r="AE17" s="539"/>
      <c r="AF17" s="539"/>
      <c r="AH17" s="159">
        <v>0</v>
      </c>
      <c r="AI17" s="159">
        <v>0</v>
      </c>
      <c r="AJ17" s="159">
        <v>0</v>
      </c>
      <c r="AK17" s="270">
        <v>0</v>
      </c>
      <c r="AL17" s="159">
        <v>0</v>
      </c>
      <c r="AM17" s="159">
        <v>0</v>
      </c>
      <c r="AN17" s="159">
        <v>0</v>
      </c>
      <c r="AO17" s="159">
        <v>0</v>
      </c>
      <c r="AP17" s="158">
        <f t="shared" ref="AP17" si="72">SUM(AK17:AO17)</f>
        <v>0</v>
      </c>
      <c r="AR17" s="158">
        <v>0</v>
      </c>
      <c r="AS17" s="158">
        <v>0</v>
      </c>
      <c r="AT17" s="158">
        <v>0</v>
      </c>
      <c r="AU17" s="269">
        <v>0</v>
      </c>
      <c r="AV17" s="158">
        <v>0</v>
      </c>
      <c r="AW17" s="158">
        <v>0</v>
      </c>
      <c r="AX17" s="158">
        <v>0</v>
      </c>
      <c r="AY17" s="158">
        <v>0</v>
      </c>
      <c r="AZ17" s="159">
        <f t="shared" ref="AZ17" si="73">SUM(AU17:AY17)</f>
        <v>0</v>
      </c>
      <c r="BB17" s="158">
        <f t="shared" si="63"/>
        <v>0</v>
      </c>
      <c r="BC17" s="158">
        <f t="shared" si="64"/>
        <v>0</v>
      </c>
      <c r="BD17" s="158">
        <f t="shared" si="65"/>
        <v>0</v>
      </c>
      <c r="BE17" s="269">
        <f t="shared" si="66"/>
        <v>0</v>
      </c>
      <c r="BF17" s="158">
        <f t="shared" si="67"/>
        <v>0</v>
      </c>
      <c r="BG17" s="158">
        <f t="shared" si="68"/>
        <v>0</v>
      </c>
      <c r="BH17" s="158">
        <f t="shared" si="69"/>
        <v>0</v>
      </c>
      <c r="BI17" s="158">
        <f t="shared" si="70"/>
        <v>0</v>
      </c>
      <c r="BJ17" s="159">
        <f t="shared" ref="BJ17" si="74">SUM(BE17:BI17)</f>
        <v>0</v>
      </c>
      <c r="BL17" s="285">
        <f t="shared" ref="BL17:BL18" si="75">BE17*$BL$2/Thousands</f>
        <v>0</v>
      </c>
      <c r="BM17" s="285">
        <f t="shared" ref="BM17:BM18" si="76">BF17*$BL$2/Thousands</f>
        <v>0</v>
      </c>
      <c r="BN17" s="285">
        <f t="shared" ref="BN17:BN18" si="77">BG17*$BL$2/Thousands</f>
        <v>0</v>
      </c>
      <c r="BO17" s="285">
        <f t="shared" ref="BO17:BO18" si="78">BH17*$BL$2/Thousands</f>
        <v>0</v>
      </c>
      <c r="BP17" s="285">
        <f t="shared" ref="BP17:BP18" si="79">BI17*$BL$2/Thousands</f>
        <v>0</v>
      </c>
      <c r="BQ17" s="289">
        <f t="shared" si="10"/>
        <v>0</v>
      </c>
      <c r="BR17" s="278"/>
    </row>
    <row r="18" spans="2:70" x14ac:dyDescent="0.3">
      <c r="B18" s="251" t="s">
        <v>150</v>
      </c>
      <c r="D18" s="539"/>
      <c r="E18" s="539"/>
      <c r="F18" s="539"/>
      <c r="G18" s="538"/>
      <c r="H18" s="539"/>
      <c r="I18" s="539"/>
      <c r="J18" s="539"/>
      <c r="K18" s="539"/>
      <c r="L18" s="539"/>
      <c r="N18" s="539"/>
      <c r="O18" s="539"/>
      <c r="P18" s="539"/>
      <c r="Q18" s="538"/>
      <c r="R18" s="539"/>
      <c r="S18" s="539"/>
      <c r="T18" s="539"/>
      <c r="U18" s="539"/>
      <c r="V18" s="539"/>
      <c r="X18" s="539"/>
      <c r="Y18" s="539"/>
      <c r="Z18" s="539"/>
      <c r="AA18" s="538"/>
      <c r="AB18" s="539"/>
      <c r="AC18" s="539"/>
      <c r="AD18" s="539"/>
      <c r="AE18" s="539"/>
      <c r="AF18" s="539"/>
      <c r="AH18" s="158">
        <v>0</v>
      </c>
      <c r="AI18" s="158">
        <v>1083.7583951178297</v>
      </c>
      <c r="AJ18" s="158">
        <v>2579.6323431711921</v>
      </c>
      <c r="AK18" s="269">
        <v>122177.64331798504</v>
      </c>
      <c r="AL18" s="158">
        <v>129033.97063905343</v>
      </c>
      <c r="AM18" s="158">
        <v>128991.57108805138</v>
      </c>
      <c r="AN18" s="158">
        <v>109153.0929613906</v>
      </c>
      <c r="AO18" s="158">
        <v>90547.973770417389</v>
      </c>
      <c r="AP18" s="366">
        <f t="shared" ref="AP18:AP32" si="80">SUM(AK18:AO18)</f>
        <v>579904.25177689781</v>
      </c>
      <c r="AR18" s="158">
        <f>SUBTOTAL(9,AR19:AR21)</f>
        <v>0</v>
      </c>
      <c r="AS18" s="158">
        <f t="shared" ref="AS18:AT18" si="81">SUBTOTAL(9,AS19:AS21)</f>
        <v>89.292734733601691</v>
      </c>
      <c r="AT18" s="158">
        <f t="shared" si="81"/>
        <v>223.3386144294245</v>
      </c>
      <c r="AU18" s="269">
        <f t="shared" ref="AU18" si="82">SUBTOTAL(9,AU19:AU21)</f>
        <v>13057.332778572316</v>
      </c>
      <c r="AV18" s="158">
        <f t="shared" ref="AV18" si="83">SUBTOTAL(9,AV19:AV21)</f>
        <v>13636.444772368737</v>
      </c>
      <c r="AW18" s="158">
        <f t="shared" ref="AW18" si="84">SUBTOTAL(9,AW19:AW21)</f>
        <v>14009.633582584611</v>
      </c>
      <c r="AX18" s="158">
        <f t="shared" ref="AX18" si="85">SUBTOTAL(9,AX19:AX21)</f>
        <v>12379.69552516576</v>
      </c>
      <c r="AY18" s="158">
        <f t="shared" ref="AY18" si="86">SUBTOTAL(9,AY19:AY21)</f>
        <v>10529.177996931323</v>
      </c>
      <c r="AZ18" s="158">
        <f t="shared" ref="AZ18:AZ33" si="87">SUM(AU18:AY18)</f>
        <v>63612.284655622745</v>
      </c>
      <c r="BB18" s="158">
        <f>SUBTOTAL(9,BB19:BB21)</f>
        <v>0</v>
      </c>
      <c r="BC18" s="158">
        <f t="shared" ref="BC18" si="88">SUBTOTAL(9,BC19:BC21)</f>
        <v>1173.0511298514314</v>
      </c>
      <c r="BD18" s="158">
        <f t="shared" ref="BD18" si="89">SUBTOTAL(9,BD19:BD21)</f>
        <v>2802.9709576006167</v>
      </c>
      <c r="BE18" s="372">
        <f t="shared" ref="BE18" si="90">SUBTOTAL(9,BE19:BE21)</f>
        <v>135234.97609655737</v>
      </c>
      <c r="BF18" s="366">
        <f t="shared" ref="BF18" si="91">SUBTOTAL(9,BF19:BF21)</f>
        <v>142670.41541142217</v>
      </c>
      <c r="BG18" s="366">
        <f t="shared" ref="BG18" si="92">SUBTOTAL(9,BG19:BG21)</f>
        <v>143001.20467063598</v>
      </c>
      <c r="BH18" s="366">
        <f t="shared" ref="BH18" si="93">SUBTOTAL(9,BH19:BH21)</f>
        <v>121532.78848655637</v>
      </c>
      <c r="BI18" s="366">
        <f t="shared" ref="BI18" si="94">SUBTOTAL(9,BI19:BI21)</f>
        <v>101077.15176734871</v>
      </c>
      <c r="BJ18" s="158">
        <f t="shared" ref="BJ18:BJ33" si="95">SUM(BE18:BI18)</f>
        <v>643516.5364325206</v>
      </c>
      <c r="BL18" s="285">
        <f t="shared" si="75"/>
        <v>143.04855249324737</v>
      </c>
      <c r="BM18" s="285">
        <f t="shared" si="76"/>
        <v>150.91359496852658</v>
      </c>
      <c r="BN18" s="285">
        <f t="shared" si="77"/>
        <v>151.26349649605052</v>
      </c>
      <c r="BO18" s="285">
        <f t="shared" si="78"/>
        <v>128.5546829324463</v>
      </c>
      <c r="BP18" s="285">
        <f t="shared" si="79"/>
        <v>106.91716498057332</v>
      </c>
      <c r="BQ18" s="289">
        <f t="shared" si="10"/>
        <v>680.69749187084403</v>
      </c>
    </row>
    <row r="19" spans="2:70" outlineLevel="1" x14ac:dyDescent="0.3">
      <c r="B19" s="251"/>
      <c r="C19" s="1" t="s">
        <v>44</v>
      </c>
      <c r="D19" s="539"/>
      <c r="E19" s="539"/>
      <c r="F19" s="539"/>
      <c r="G19" s="538"/>
      <c r="H19" s="539"/>
      <c r="I19" s="539"/>
      <c r="J19" s="539"/>
      <c r="K19" s="539"/>
      <c r="L19" s="539"/>
      <c r="M19" s="158"/>
      <c r="N19" s="539"/>
      <c r="O19" s="539"/>
      <c r="P19" s="539"/>
      <c r="Q19" s="538"/>
      <c r="R19" s="539"/>
      <c r="S19" s="539"/>
      <c r="T19" s="539"/>
      <c r="U19" s="539"/>
      <c r="V19" s="539"/>
      <c r="X19" s="539"/>
      <c r="Y19" s="539"/>
      <c r="Z19" s="539"/>
      <c r="AA19" s="538"/>
      <c r="AB19" s="539"/>
      <c r="AC19" s="539"/>
      <c r="AD19" s="539"/>
      <c r="AE19" s="539"/>
      <c r="AF19" s="539"/>
      <c r="AH19" s="159">
        <v>0</v>
      </c>
      <c r="AI19" s="159">
        <v>1083.7583951178297</v>
      </c>
      <c r="AJ19" s="159">
        <v>2579.6323431711921</v>
      </c>
      <c r="AK19" s="270">
        <v>23027.3276430894</v>
      </c>
      <c r="AL19" s="159">
        <v>32086.750224959582</v>
      </c>
      <c r="AM19" s="159">
        <v>32536.269744773726</v>
      </c>
      <c r="AN19" s="159">
        <v>17023.107751721916</v>
      </c>
      <c r="AO19" s="159">
        <v>5682.5737941539392</v>
      </c>
      <c r="AP19" s="158">
        <f t="shared" si="80"/>
        <v>110356.02915869855</v>
      </c>
      <c r="AR19" s="158">
        <f>AH19*AusNet_Overheads!H$20</f>
        <v>0</v>
      </c>
      <c r="AS19" s="158">
        <f>AI19*AusNet_Overheads!I$20</f>
        <v>89.292734733601691</v>
      </c>
      <c r="AT19" s="158">
        <f>AJ19*AusNet_Overheads!J$20</f>
        <v>223.3386144294245</v>
      </c>
      <c r="AU19" s="269">
        <f>AK19*AusNet_Overheads!K$20</f>
        <v>2460.9697148477817</v>
      </c>
      <c r="AV19" s="158">
        <f>AL19*AusNet_Overheads!L$20</f>
        <v>3390.9612732247647</v>
      </c>
      <c r="AW19" s="158">
        <f>AM19*AusNet_Overheads!M$20</f>
        <v>3533.7287035388067</v>
      </c>
      <c r="AX19" s="158">
        <f>AN19*AusNet_Overheads!N$20</f>
        <v>1930.6909693612547</v>
      </c>
      <c r="AY19" s="158">
        <f>AO19*AusNet_Overheads!O$20</f>
        <v>660.78597309144834</v>
      </c>
      <c r="AZ19" s="159">
        <f t="shared" si="87"/>
        <v>11977.136634064056</v>
      </c>
      <c r="BB19" s="158">
        <f t="shared" ref="BB19:BB21" si="96">AR19+AH19</f>
        <v>0</v>
      </c>
      <c r="BC19" s="158">
        <f t="shared" ref="BC19:BC21" si="97">AS19+AI19</f>
        <v>1173.0511298514314</v>
      </c>
      <c r="BD19" s="158">
        <f t="shared" ref="BD19:BD21" si="98">AT19+AJ19</f>
        <v>2802.9709576006167</v>
      </c>
      <c r="BE19" s="269">
        <f t="shared" ref="BE19:BE21" si="99">AU19+AK19</f>
        <v>25488.297357937183</v>
      </c>
      <c r="BF19" s="158">
        <f t="shared" ref="BF19:BF21" si="100">AV19+AL19</f>
        <v>35477.711498184348</v>
      </c>
      <c r="BG19" s="158">
        <f t="shared" ref="BG19:BG21" si="101">AW19+AM19</f>
        <v>36069.99844831253</v>
      </c>
      <c r="BH19" s="158">
        <f t="shared" ref="BH19:BH21" si="102">AX19+AN19</f>
        <v>18953.798721083171</v>
      </c>
      <c r="BI19" s="158">
        <f t="shared" ref="BI19:BI21" si="103">AY19+AO19</f>
        <v>6343.359767245387</v>
      </c>
      <c r="BJ19" s="159">
        <f t="shared" si="95"/>
        <v>122333.16579276262</v>
      </c>
      <c r="BL19" s="285">
        <f t="shared" ref="BL19:BP22" si="104">BE19*$BL$2/Thousands</f>
        <v>26.960954538618005</v>
      </c>
      <c r="BM19" s="285">
        <f t="shared" si="104"/>
        <v>37.527534829190564</v>
      </c>
      <c r="BN19" s="285">
        <f t="shared" si="104"/>
        <v>38.154042803103927</v>
      </c>
      <c r="BO19" s="285">
        <f t="shared" si="104"/>
        <v>20.048907091634646</v>
      </c>
      <c r="BP19" s="285">
        <f t="shared" si="104"/>
        <v>6.7098649982417884</v>
      </c>
      <c r="BQ19" s="289">
        <f t="shared" si="10"/>
        <v>129.40130426078892</v>
      </c>
      <c r="BR19" s="278"/>
    </row>
    <row r="20" spans="2:70" outlineLevel="1" x14ac:dyDescent="0.3">
      <c r="B20" s="251"/>
      <c r="C20" s="1" t="s">
        <v>45</v>
      </c>
      <c r="D20" s="539"/>
      <c r="E20" s="539"/>
      <c r="F20" s="539"/>
      <c r="G20" s="538"/>
      <c r="H20" s="539"/>
      <c r="I20" s="539"/>
      <c r="J20" s="539"/>
      <c r="K20" s="539"/>
      <c r="L20" s="539"/>
      <c r="M20" s="158"/>
      <c r="N20" s="539"/>
      <c r="O20" s="539"/>
      <c r="P20" s="539"/>
      <c r="Q20" s="538"/>
      <c r="R20" s="539"/>
      <c r="S20" s="539"/>
      <c r="T20" s="539"/>
      <c r="U20" s="539"/>
      <c r="V20" s="539"/>
      <c r="X20" s="539"/>
      <c r="Y20" s="539"/>
      <c r="Z20" s="539"/>
      <c r="AA20" s="538"/>
      <c r="AB20" s="539"/>
      <c r="AC20" s="539"/>
      <c r="AD20" s="539"/>
      <c r="AE20" s="539"/>
      <c r="AF20" s="539"/>
      <c r="AH20" s="159">
        <v>0</v>
      </c>
      <c r="AI20" s="159">
        <v>0</v>
      </c>
      <c r="AJ20" s="159">
        <v>0</v>
      </c>
      <c r="AK20" s="270">
        <v>79544.100937486306</v>
      </c>
      <c r="AL20" s="159">
        <v>82375.041344683108</v>
      </c>
      <c r="AM20" s="159">
        <v>82477.87298693051</v>
      </c>
      <c r="AN20" s="159">
        <v>78504.339688645778</v>
      </c>
      <c r="AO20" s="159">
        <v>75102.843902799548</v>
      </c>
      <c r="AP20" s="158">
        <f t="shared" si="80"/>
        <v>398004.19886054524</v>
      </c>
      <c r="AR20" s="158">
        <f>AH20*AusNet_Overheads!H$20</f>
        <v>0</v>
      </c>
      <c r="AS20" s="158">
        <f>AI20*AusNet_Overheads!I$20</f>
        <v>0</v>
      </c>
      <c r="AT20" s="158">
        <f>AJ20*AusNet_Overheads!J$20</f>
        <v>0</v>
      </c>
      <c r="AU20" s="269">
        <f>AK20*AusNet_Overheads!K$20</f>
        <v>8501.0135103843004</v>
      </c>
      <c r="AV20" s="158">
        <f>AL20*AusNet_Overheads!L$20</f>
        <v>8705.4803967908265</v>
      </c>
      <c r="AW20" s="158">
        <f>AM20*AusNet_Overheads!M$20</f>
        <v>8957.8316588538983</v>
      </c>
      <c r="AX20" s="158">
        <f>AN20*AusNet_Overheads!N$20</f>
        <v>8903.6397996837804</v>
      </c>
      <c r="AY20" s="158">
        <f>AO20*AusNet_Overheads!O$20</f>
        <v>8733.174013736736</v>
      </c>
      <c r="AZ20" s="159">
        <f t="shared" si="87"/>
        <v>43801.139379449545</v>
      </c>
      <c r="BB20" s="158">
        <f t="shared" si="96"/>
        <v>0</v>
      </c>
      <c r="BC20" s="158">
        <f t="shared" si="97"/>
        <v>0</v>
      </c>
      <c r="BD20" s="158">
        <f t="shared" si="98"/>
        <v>0</v>
      </c>
      <c r="BE20" s="269">
        <f t="shared" si="99"/>
        <v>88045.114447870612</v>
      </c>
      <c r="BF20" s="158">
        <f t="shared" si="100"/>
        <v>91080.521741473931</v>
      </c>
      <c r="BG20" s="158">
        <f t="shared" si="101"/>
        <v>91435.704645784412</v>
      </c>
      <c r="BH20" s="158">
        <f t="shared" si="102"/>
        <v>87407.979488329554</v>
      </c>
      <c r="BI20" s="158">
        <f t="shared" si="103"/>
        <v>83836.017916536279</v>
      </c>
      <c r="BJ20" s="159">
        <f t="shared" si="95"/>
        <v>441805.33823999483</v>
      </c>
      <c r="BL20" s="285">
        <f t="shared" si="104"/>
        <v>93.132165504858705</v>
      </c>
      <c r="BM20" s="285">
        <f t="shared" si="104"/>
        <v>96.342951886536895</v>
      </c>
      <c r="BN20" s="285">
        <f t="shared" si="104"/>
        <v>96.718656469763076</v>
      </c>
      <c r="BO20" s="285">
        <f t="shared" si="104"/>
        <v>92.458218303210828</v>
      </c>
      <c r="BP20" s="285">
        <f t="shared" si="104"/>
        <v>88.679876729491724</v>
      </c>
      <c r="BQ20" s="289">
        <f t="shared" si="10"/>
        <v>467.33186889386127</v>
      </c>
      <c r="BR20" s="278"/>
    </row>
    <row r="21" spans="2:70" outlineLevel="1" x14ac:dyDescent="0.3">
      <c r="B21" s="251"/>
      <c r="C21" s="1" t="s">
        <v>48</v>
      </c>
      <c r="D21" s="539"/>
      <c r="E21" s="539"/>
      <c r="F21" s="539"/>
      <c r="G21" s="538"/>
      <c r="H21" s="539"/>
      <c r="I21" s="539"/>
      <c r="J21" s="539"/>
      <c r="K21" s="539"/>
      <c r="L21" s="539"/>
      <c r="M21" s="158"/>
      <c r="N21" s="539"/>
      <c r="O21" s="539"/>
      <c r="P21" s="539"/>
      <c r="Q21" s="538"/>
      <c r="R21" s="539"/>
      <c r="S21" s="539"/>
      <c r="T21" s="539"/>
      <c r="U21" s="539"/>
      <c r="V21" s="539"/>
      <c r="X21" s="539"/>
      <c r="Y21" s="539"/>
      <c r="Z21" s="539"/>
      <c r="AA21" s="538"/>
      <c r="AB21" s="539"/>
      <c r="AC21" s="539"/>
      <c r="AD21" s="539"/>
      <c r="AE21" s="539"/>
      <c r="AF21" s="539"/>
      <c r="AH21" s="159">
        <v>0</v>
      </c>
      <c r="AI21" s="159">
        <v>0</v>
      </c>
      <c r="AJ21" s="159">
        <v>0</v>
      </c>
      <c r="AK21" s="270">
        <v>19606.214737409333</v>
      </c>
      <c r="AL21" s="159">
        <v>14572.179069410737</v>
      </c>
      <c r="AM21" s="159">
        <v>13977.428356347136</v>
      </c>
      <c r="AN21" s="159">
        <v>13625.645521022914</v>
      </c>
      <c r="AO21" s="159">
        <v>9762.5560734639057</v>
      </c>
      <c r="AP21" s="158">
        <f t="shared" si="80"/>
        <v>71544.023757654024</v>
      </c>
      <c r="AR21" s="158">
        <f>AH21*AusNet_Overheads!H$20</f>
        <v>0</v>
      </c>
      <c r="AS21" s="158">
        <f>AI21*AusNet_Overheads!I$20</f>
        <v>0</v>
      </c>
      <c r="AT21" s="158">
        <f>AJ21*AusNet_Overheads!J$20</f>
        <v>0</v>
      </c>
      <c r="AU21" s="269">
        <f>AK21*AusNet_Overheads!K$20</f>
        <v>2095.3495533402352</v>
      </c>
      <c r="AV21" s="158">
        <f>AL21*AusNet_Overheads!L$20</f>
        <v>1540.0031023531471</v>
      </c>
      <c r="AW21" s="158">
        <f>AM21*AusNet_Overheads!M$20</f>
        <v>1518.0732201919056</v>
      </c>
      <c r="AX21" s="158">
        <f>AN21*AusNet_Overheads!N$20</f>
        <v>1545.3647561207254</v>
      </c>
      <c r="AY21" s="158">
        <f>AO21*AusNet_Overheads!O$20</f>
        <v>1135.2180101031386</v>
      </c>
      <c r="AZ21" s="159">
        <f t="shared" si="87"/>
        <v>7834.008642109151</v>
      </c>
      <c r="BB21" s="158">
        <f t="shared" si="96"/>
        <v>0</v>
      </c>
      <c r="BC21" s="158">
        <f t="shared" si="97"/>
        <v>0</v>
      </c>
      <c r="BD21" s="158">
        <f t="shared" si="98"/>
        <v>0</v>
      </c>
      <c r="BE21" s="269">
        <f t="shared" si="99"/>
        <v>21701.564290749568</v>
      </c>
      <c r="BF21" s="158">
        <f t="shared" si="100"/>
        <v>16112.182171763883</v>
      </c>
      <c r="BG21" s="158">
        <f t="shared" si="101"/>
        <v>15495.501576539042</v>
      </c>
      <c r="BH21" s="158">
        <f t="shared" si="102"/>
        <v>15171.01027714364</v>
      </c>
      <c r="BI21" s="158">
        <f t="shared" si="103"/>
        <v>10897.774083567045</v>
      </c>
      <c r="BJ21" s="159">
        <f t="shared" si="95"/>
        <v>79378.032399763179</v>
      </c>
      <c r="BL21" s="285">
        <f t="shared" si="104"/>
        <v>22.955432449770658</v>
      </c>
      <c r="BM21" s="285">
        <f t="shared" si="104"/>
        <v>17.043108252799133</v>
      </c>
      <c r="BN21" s="285">
        <f t="shared" si="104"/>
        <v>16.390797223183522</v>
      </c>
      <c r="BO21" s="285">
        <f t="shared" si="104"/>
        <v>16.047557537600831</v>
      </c>
      <c r="BP21" s="285">
        <f t="shared" si="104"/>
        <v>11.52742325283981</v>
      </c>
      <c r="BQ21" s="289">
        <f t="shared" si="10"/>
        <v>83.964318716193958</v>
      </c>
      <c r="BR21" s="278"/>
    </row>
    <row r="22" spans="2:70" x14ac:dyDescent="0.3">
      <c r="B22" s="251" t="s">
        <v>556</v>
      </c>
      <c r="D22" s="539"/>
      <c r="E22" s="539"/>
      <c r="F22" s="539"/>
      <c r="G22" s="538"/>
      <c r="H22" s="539"/>
      <c r="I22" s="539"/>
      <c r="J22" s="539"/>
      <c r="K22" s="539"/>
      <c r="L22" s="539"/>
      <c r="N22" s="539"/>
      <c r="O22" s="539"/>
      <c r="P22" s="539"/>
      <c r="Q22" s="538"/>
      <c r="R22" s="539"/>
      <c r="S22" s="539"/>
      <c r="T22" s="539"/>
      <c r="U22" s="539"/>
      <c r="V22" s="539"/>
      <c r="X22" s="539"/>
      <c r="Y22" s="539"/>
      <c r="Z22" s="539"/>
      <c r="AA22" s="538"/>
      <c r="AB22" s="539"/>
      <c r="AC22" s="539"/>
      <c r="AD22" s="539"/>
      <c r="AE22" s="539"/>
      <c r="AF22" s="539"/>
      <c r="AH22" s="158">
        <v>0</v>
      </c>
      <c r="AI22" s="158">
        <v>0</v>
      </c>
      <c r="AJ22" s="158">
        <v>0</v>
      </c>
      <c r="AK22" s="269">
        <v>8654.4109031356802</v>
      </c>
      <c r="AL22" s="158">
        <v>20974.179657202814</v>
      </c>
      <c r="AM22" s="158">
        <v>31933.569343437503</v>
      </c>
      <c r="AN22" s="158">
        <v>45594.188954571597</v>
      </c>
      <c r="AO22" s="158">
        <v>58964.782496267355</v>
      </c>
      <c r="AP22" s="158">
        <f t="shared" si="80"/>
        <v>166121.13135461495</v>
      </c>
      <c r="AR22" s="158">
        <f t="shared" ref="AR22:AY22" si="105">SUBTOTAL(9,AR23:AR26)</f>
        <v>0</v>
      </c>
      <c r="AS22" s="158">
        <f t="shared" si="105"/>
        <v>0</v>
      </c>
      <c r="AT22" s="158">
        <f t="shared" si="105"/>
        <v>0</v>
      </c>
      <c r="AU22" s="269">
        <f t="shared" si="105"/>
        <v>924.91162945940198</v>
      </c>
      <c r="AV22" s="158">
        <f t="shared" si="105"/>
        <v>2181.4056871233101</v>
      </c>
      <c r="AW22" s="158">
        <f t="shared" si="105"/>
        <v>3402.804439583259</v>
      </c>
      <c r="AX22" s="158">
        <f t="shared" si="105"/>
        <v>5071.8093921043628</v>
      </c>
      <c r="AY22" s="158">
        <f t="shared" si="105"/>
        <v>6746.1312641152535</v>
      </c>
      <c r="AZ22" s="158">
        <f t="shared" si="87"/>
        <v>18327.062412385589</v>
      </c>
      <c r="BB22" s="366">
        <f t="shared" ref="BB22:BI22" si="106">SUBTOTAL(9,BB23:BB26)</f>
        <v>0</v>
      </c>
      <c r="BC22" s="366">
        <f t="shared" si="106"/>
        <v>0</v>
      </c>
      <c r="BD22" s="366">
        <f t="shared" si="106"/>
        <v>0</v>
      </c>
      <c r="BE22" s="372">
        <f t="shared" si="106"/>
        <v>9579.3225325950807</v>
      </c>
      <c r="BF22" s="366">
        <f t="shared" si="106"/>
        <v>23155.585344326126</v>
      </c>
      <c r="BG22" s="158">
        <f t="shared" si="106"/>
        <v>35336.373783020761</v>
      </c>
      <c r="BH22" s="158">
        <f t="shared" si="106"/>
        <v>50665.998346675959</v>
      </c>
      <c r="BI22" s="158">
        <f t="shared" si="106"/>
        <v>65710.913760382595</v>
      </c>
      <c r="BJ22" s="158">
        <f t="shared" si="95"/>
        <v>184448.19376700051</v>
      </c>
      <c r="BL22" s="285">
        <f t="shared" si="104"/>
        <v>10.132794501145019</v>
      </c>
      <c r="BM22" s="285">
        <f t="shared" si="104"/>
        <v>24.493463608664975</v>
      </c>
      <c r="BN22" s="285">
        <f t="shared" si="104"/>
        <v>37.378030934928631</v>
      </c>
      <c r="BO22" s="285">
        <f t="shared" si="104"/>
        <v>53.593367140039469</v>
      </c>
      <c r="BP22" s="285">
        <f t="shared" si="104"/>
        <v>69.50754433320472</v>
      </c>
      <c r="BQ22" s="289">
        <f t="shared" si="10"/>
        <v>195.10520051798281</v>
      </c>
    </row>
    <row r="23" spans="2:70" outlineLevel="1" x14ac:dyDescent="0.3">
      <c r="B23" s="251"/>
      <c r="C23" s="1" t="s">
        <v>44</v>
      </c>
      <c r="D23" s="539"/>
      <c r="E23" s="539"/>
      <c r="F23" s="539"/>
      <c r="G23" s="538"/>
      <c r="H23" s="539"/>
      <c r="I23" s="539"/>
      <c r="J23" s="539"/>
      <c r="K23" s="539"/>
      <c r="L23" s="539"/>
      <c r="M23" s="158"/>
      <c r="N23" s="539"/>
      <c r="O23" s="539"/>
      <c r="P23" s="539"/>
      <c r="Q23" s="538"/>
      <c r="R23" s="539"/>
      <c r="S23" s="539"/>
      <c r="T23" s="539"/>
      <c r="U23" s="539"/>
      <c r="V23" s="539"/>
      <c r="X23" s="539"/>
      <c r="Y23" s="539"/>
      <c r="Z23" s="539"/>
      <c r="AA23" s="538"/>
      <c r="AB23" s="539"/>
      <c r="AC23" s="539"/>
      <c r="AD23" s="539"/>
      <c r="AE23" s="539"/>
      <c r="AF23" s="539"/>
      <c r="AH23" s="159">
        <v>0</v>
      </c>
      <c r="AI23" s="159">
        <v>0</v>
      </c>
      <c r="AJ23" s="159">
        <v>0</v>
      </c>
      <c r="AK23" s="270">
        <v>835.58291626301923</v>
      </c>
      <c r="AL23" s="159">
        <v>9398.100826132435</v>
      </c>
      <c r="AM23" s="159">
        <v>16084.995325378955</v>
      </c>
      <c r="AN23" s="159">
        <v>22839.011963907931</v>
      </c>
      <c r="AO23" s="159">
        <v>24871.618984844241</v>
      </c>
      <c r="AP23" s="158">
        <f t="shared" si="80"/>
        <v>74029.310016526579</v>
      </c>
      <c r="AR23" s="158">
        <f>AH23*AusNet_Overheads!H$20</f>
        <v>0</v>
      </c>
      <c r="AS23" s="158">
        <f>AI23*AusNet_Overheads!I$20</f>
        <v>0</v>
      </c>
      <c r="AT23" s="158">
        <f>AJ23*AusNet_Overheads!J$20</f>
        <v>0</v>
      </c>
      <c r="AU23" s="269">
        <f>AK23*AusNet_Overheads!K$20</f>
        <v>89.300169044348408</v>
      </c>
      <c r="AV23" s="158">
        <f>AL23*AusNet_Overheads!L$20</f>
        <v>993.20111011076688</v>
      </c>
      <c r="AW23" s="158">
        <f>AM23*AusNet_Overheads!M$20</f>
        <v>1746.973765691419</v>
      </c>
      <c r="AX23" s="158">
        <f>AN23*AusNet_Overheads!N$20</f>
        <v>2590.3069398941216</v>
      </c>
      <c r="AY23" s="158">
        <f>AO23*AusNet_Overheads!O$20</f>
        <v>2892.1431641006911</v>
      </c>
      <c r="AZ23" s="159">
        <f t="shared" si="87"/>
        <v>8311.9251488413465</v>
      </c>
      <c r="BB23" s="158">
        <f t="shared" ref="BB23:BB26" si="107">AR23+AH23</f>
        <v>0</v>
      </c>
      <c r="BC23" s="158">
        <f t="shared" ref="BC23:BC26" si="108">AS23+AI23</f>
        <v>0</v>
      </c>
      <c r="BD23" s="158">
        <f t="shared" ref="BD23:BD26" si="109">AT23+AJ23</f>
        <v>0</v>
      </c>
      <c r="BE23" s="269">
        <f t="shared" ref="BE23:BE26" si="110">AU23+AK23</f>
        <v>924.88308530736765</v>
      </c>
      <c r="BF23" s="158">
        <f t="shared" ref="BF23:BF26" si="111">AV23+AL23</f>
        <v>10391.301936243202</v>
      </c>
      <c r="BG23" s="158">
        <f t="shared" ref="BG23:BG26" si="112">AW23+AM23</f>
        <v>17831.969091070376</v>
      </c>
      <c r="BH23" s="158">
        <f t="shared" ref="BH23:BH26" si="113">AX23+AN23</f>
        <v>25429.318903802054</v>
      </c>
      <c r="BI23" s="158">
        <f t="shared" ref="BI23:BI26" si="114">AY23+AO23</f>
        <v>27763.76214894493</v>
      </c>
      <c r="BJ23" s="159">
        <f t="shared" si="95"/>
        <v>82341.235165367922</v>
      </c>
      <c r="BL23" s="285">
        <f t="shared" ref="BL23:BP27" si="115">BE23*$BL$2/Thousands</f>
        <v>0.97832077468068235</v>
      </c>
      <c r="BM23" s="285">
        <f t="shared" si="115"/>
        <v>10.991688270337256</v>
      </c>
      <c r="BN23" s="285">
        <f t="shared" si="115"/>
        <v>18.862260638554446</v>
      </c>
      <c r="BO23" s="285">
        <f t="shared" si="115"/>
        <v>26.898568440466178</v>
      </c>
      <c r="BP23" s="285">
        <f t="shared" si="115"/>
        <v>29.367890628661755</v>
      </c>
      <c r="BQ23" s="289">
        <f t="shared" si="10"/>
        <v>87.09872875270031</v>
      </c>
      <c r="BR23" s="278"/>
    </row>
    <row r="24" spans="2:70" outlineLevel="1" x14ac:dyDescent="0.3">
      <c r="B24" s="251"/>
      <c r="C24" s="1" t="s">
        <v>45</v>
      </c>
      <c r="D24" s="539"/>
      <c r="E24" s="539"/>
      <c r="F24" s="539"/>
      <c r="G24" s="538"/>
      <c r="H24" s="539"/>
      <c r="I24" s="539"/>
      <c r="J24" s="539"/>
      <c r="K24" s="539"/>
      <c r="L24" s="539"/>
      <c r="M24" s="158"/>
      <c r="N24" s="539"/>
      <c r="O24" s="539"/>
      <c r="P24" s="539"/>
      <c r="Q24" s="538"/>
      <c r="R24" s="539"/>
      <c r="S24" s="539"/>
      <c r="T24" s="539"/>
      <c r="U24" s="539"/>
      <c r="V24" s="539"/>
      <c r="X24" s="539"/>
      <c r="Y24" s="539"/>
      <c r="Z24" s="539"/>
      <c r="AA24" s="538"/>
      <c r="AB24" s="539"/>
      <c r="AC24" s="539"/>
      <c r="AD24" s="539"/>
      <c r="AE24" s="539"/>
      <c r="AF24" s="539"/>
      <c r="AH24" s="159">
        <v>0</v>
      </c>
      <c r="AI24" s="159">
        <v>0</v>
      </c>
      <c r="AJ24" s="159">
        <v>0</v>
      </c>
      <c r="AK24" s="270">
        <v>7818.8279868726604</v>
      </c>
      <c r="AL24" s="159">
        <v>8783.5393773813394</v>
      </c>
      <c r="AM24" s="159">
        <v>10909.895960846834</v>
      </c>
      <c r="AN24" s="159">
        <v>15648.643734410663</v>
      </c>
      <c r="AO24" s="159">
        <v>26309.882322499314</v>
      </c>
      <c r="AP24" s="158">
        <f t="shared" si="80"/>
        <v>69470.789382010815</v>
      </c>
      <c r="AR24" s="158">
        <f>AH24*AusNet_Overheads!H$20</f>
        <v>0</v>
      </c>
      <c r="AS24" s="158">
        <f>AI24*AusNet_Overheads!I$20</f>
        <v>0</v>
      </c>
      <c r="AT24" s="158">
        <f>AJ24*AusNet_Overheads!J$20</f>
        <v>0</v>
      </c>
      <c r="AU24" s="269">
        <f>AK24*AusNet_Overheads!K$20</f>
        <v>835.61146041505356</v>
      </c>
      <c r="AV24" s="158">
        <f>AL24*AusNet_Overheads!L$20</f>
        <v>928.25361439613982</v>
      </c>
      <c r="AW24" s="158">
        <f>AM24*AusNet_Overheads!M$20</f>
        <v>1184.9118787091204</v>
      </c>
      <c r="AX24" s="158">
        <f>AN24*AusNet_Overheads!N$20</f>
        <v>1774.8049052748422</v>
      </c>
      <c r="AY24" s="158">
        <f>AO24*AusNet_Overheads!O$20</f>
        <v>3059.3885485973938</v>
      </c>
      <c r="AZ24" s="159">
        <f t="shared" si="87"/>
        <v>7782.9704073925495</v>
      </c>
      <c r="BB24" s="158">
        <f t="shared" si="107"/>
        <v>0</v>
      </c>
      <c r="BC24" s="158">
        <f t="shared" si="108"/>
        <v>0</v>
      </c>
      <c r="BD24" s="158">
        <f t="shared" si="109"/>
        <v>0</v>
      </c>
      <c r="BE24" s="269">
        <f t="shared" si="110"/>
        <v>8654.4394472877138</v>
      </c>
      <c r="BF24" s="158">
        <f t="shared" si="111"/>
        <v>9711.79299177748</v>
      </c>
      <c r="BG24" s="158">
        <f t="shared" si="112"/>
        <v>12094.807839555955</v>
      </c>
      <c r="BH24" s="158">
        <f t="shared" si="113"/>
        <v>17423.448639685506</v>
      </c>
      <c r="BI24" s="158">
        <f t="shared" si="114"/>
        <v>29369.270871096709</v>
      </c>
      <c r="BJ24" s="159">
        <f t="shared" si="95"/>
        <v>77253.759789403368</v>
      </c>
      <c r="BL24" s="285">
        <f t="shared" si="115"/>
        <v>9.1544737264643388</v>
      </c>
      <c r="BM24" s="285">
        <f t="shared" si="115"/>
        <v>10.27291880908018</v>
      </c>
      <c r="BN24" s="285">
        <f t="shared" si="115"/>
        <v>12.793618959174745</v>
      </c>
      <c r="BO24" s="285">
        <f t="shared" si="115"/>
        <v>18.430136783311784</v>
      </c>
      <c r="BP24" s="285">
        <f t="shared" si="115"/>
        <v>31.066162076982302</v>
      </c>
      <c r="BQ24" s="289">
        <f t="shared" si="10"/>
        <v>81.717310355013353</v>
      </c>
      <c r="BR24" s="278"/>
    </row>
    <row r="25" spans="2:70" outlineLevel="1" x14ac:dyDescent="0.3">
      <c r="B25" s="251"/>
      <c r="C25" s="1" t="s">
        <v>48</v>
      </c>
      <c r="D25" s="539"/>
      <c r="E25" s="539"/>
      <c r="F25" s="539"/>
      <c r="G25" s="538"/>
      <c r="H25" s="539"/>
      <c r="I25" s="539"/>
      <c r="J25" s="539"/>
      <c r="K25" s="539"/>
      <c r="L25" s="539"/>
      <c r="M25" s="158"/>
      <c r="N25" s="539"/>
      <c r="O25" s="539"/>
      <c r="P25" s="539"/>
      <c r="Q25" s="538"/>
      <c r="R25" s="539"/>
      <c r="S25" s="539"/>
      <c r="T25" s="539"/>
      <c r="U25" s="539"/>
      <c r="V25" s="539"/>
      <c r="X25" s="539"/>
      <c r="Y25" s="539"/>
      <c r="Z25" s="539"/>
      <c r="AA25" s="538"/>
      <c r="AB25" s="539"/>
      <c r="AC25" s="539"/>
      <c r="AD25" s="539"/>
      <c r="AE25" s="539"/>
      <c r="AF25" s="539"/>
      <c r="AH25" s="159">
        <v>0</v>
      </c>
      <c r="AI25" s="159">
        <v>0</v>
      </c>
      <c r="AJ25" s="159">
        <v>0</v>
      </c>
      <c r="AK25" s="270">
        <v>0</v>
      </c>
      <c r="AL25" s="159">
        <v>2459.7690554802957</v>
      </c>
      <c r="AM25" s="159">
        <v>4335.913204826631</v>
      </c>
      <c r="AN25" s="159">
        <v>6231.0274820101813</v>
      </c>
      <c r="AO25" s="159">
        <v>6833.3329876915859</v>
      </c>
      <c r="AP25" s="158">
        <f t="shared" si="80"/>
        <v>19860.042730008692</v>
      </c>
      <c r="AR25" s="158">
        <f>AH25*AusNet_Overheads!H$20</f>
        <v>0</v>
      </c>
      <c r="AS25" s="158">
        <f>AI25*AusNet_Overheads!I$20</f>
        <v>0</v>
      </c>
      <c r="AT25" s="158">
        <f>AJ25*AusNet_Overheads!J$20</f>
        <v>0</v>
      </c>
      <c r="AU25" s="269">
        <f>AK25*AusNet_Overheads!K$20</f>
        <v>0</v>
      </c>
      <c r="AV25" s="158">
        <f>AL25*AusNet_Overheads!L$20</f>
        <v>259.95096261640339</v>
      </c>
      <c r="AW25" s="158">
        <f>AM25*AusNet_Overheads!M$20</f>
        <v>470.91879518271924</v>
      </c>
      <c r="AX25" s="158">
        <f>AN25*AusNet_Overheads!N$20</f>
        <v>706.69754693539903</v>
      </c>
      <c r="AY25" s="158">
        <f>AO25*AusNet_Overheads!O$20</f>
        <v>794.59955141716875</v>
      </c>
      <c r="AZ25" s="159">
        <f t="shared" si="87"/>
        <v>2232.1668561516904</v>
      </c>
      <c r="BB25" s="158">
        <f t="shared" si="107"/>
        <v>0</v>
      </c>
      <c r="BC25" s="158">
        <f t="shared" si="108"/>
        <v>0</v>
      </c>
      <c r="BD25" s="158">
        <f t="shared" si="109"/>
        <v>0</v>
      </c>
      <c r="BE25" s="269">
        <f t="shared" si="110"/>
        <v>0</v>
      </c>
      <c r="BF25" s="158">
        <f t="shared" si="111"/>
        <v>2719.7200180966993</v>
      </c>
      <c r="BG25" s="158">
        <f t="shared" si="112"/>
        <v>4806.8320000093499</v>
      </c>
      <c r="BH25" s="158">
        <f t="shared" si="113"/>
        <v>6937.7250289455806</v>
      </c>
      <c r="BI25" s="158">
        <f t="shared" si="114"/>
        <v>7627.932539108755</v>
      </c>
      <c r="BJ25" s="159">
        <f t="shared" si="95"/>
        <v>22092.209586160385</v>
      </c>
      <c r="BL25" s="285">
        <f t="shared" si="115"/>
        <v>0</v>
      </c>
      <c r="BM25" s="285">
        <f t="shared" si="115"/>
        <v>2.8768593969200649</v>
      </c>
      <c r="BN25" s="285">
        <f t="shared" si="115"/>
        <v>5.0845600711210022</v>
      </c>
      <c r="BO25" s="285">
        <f t="shared" si="115"/>
        <v>7.3385713639513259</v>
      </c>
      <c r="BP25" s="285">
        <f t="shared" si="115"/>
        <v>8.0686575302572621</v>
      </c>
      <c r="BQ25" s="289">
        <f t="shared" si="10"/>
        <v>23.368648362249655</v>
      </c>
      <c r="BR25" s="278"/>
    </row>
    <row r="26" spans="2:70" outlineLevel="1" x14ac:dyDescent="0.3">
      <c r="B26" s="251"/>
      <c r="C26" s="1" t="s">
        <v>397</v>
      </c>
      <c r="D26" s="539"/>
      <c r="E26" s="539"/>
      <c r="F26" s="539"/>
      <c r="G26" s="538"/>
      <c r="H26" s="539"/>
      <c r="I26" s="539"/>
      <c r="J26" s="539"/>
      <c r="K26" s="539"/>
      <c r="L26" s="539"/>
      <c r="M26" s="158"/>
      <c r="N26" s="539"/>
      <c r="O26" s="539"/>
      <c r="P26" s="539"/>
      <c r="Q26" s="538"/>
      <c r="R26" s="539"/>
      <c r="S26" s="539"/>
      <c r="T26" s="539"/>
      <c r="U26" s="539"/>
      <c r="V26" s="539"/>
      <c r="X26" s="539"/>
      <c r="Y26" s="539"/>
      <c r="Z26" s="539"/>
      <c r="AA26" s="538"/>
      <c r="AB26" s="539"/>
      <c r="AC26" s="539"/>
      <c r="AD26" s="539"/>
      <c r="AE26" s="539"/>
      <c r="AF26" s="539"/>
      <c r="AH26" s="159">
        <v>0</v>
      </c>
      <c r="AI26" s="159">
        <v>0</v>
      </c>
      <c r="AJ26" s="159">
        <v>0</v>
      </c>
      <c r="AK26" s="270">
        <v>0</v>
      </c>
      <c r="AL26" s="159">
        <v>332.7703982087433</v>
      </c>
      <c r="AM26" s="159">
        <v>602.76485238508349</v>
      </c>
      <c r="AN26" s="159">
        <v>875.50577424282051</v>
      </c>
      <c r="AO26" s="159">
        <v>949.9482012322087</v>
      </c>
      <c r="AP26" s="366">
        <f t="shared" ref="AP26" si="116">SUM(AK26:AO26)</f>
        <v>2760.9892260688557</v>
      </c>
      <c r="AR26" s="164"/>
      <c r="AS26" s="164"/>
      <c r="AT26" s="164"/>
      <c r="AU26" s="288"/>
      <c r="AV26" s="164"/>
      <c r="AW26" s="164"/>
      <c r="AX26" s="164"/>
      <c r="AY26" s="164"/>
      <c r="AZ26" s="159">
        <f t="shared" ref="AZ26" si="117">SUM(AU26:AY26)</f>
        <v>0</v>
      </c>
      <c r="BB26" s="158">
        <f t="shared" si="107"/>
        <v>0</v>
      </c>
      <c r="BC26" s="158">
        <f t="shared" si="108"/>
        <v>0</v>
      </c>
      <c r="BD26" s="158">
        <f t="shared" si="109"/>
        <v>0</v>
      </c>
      <c r="BE26" s="269">
        <f t="shared" si="110"/>
        <v>0</v>
      </c>
      <c r="BF26" s="158">
        <f t="shared" si="111"/>
        <v>332.7703982087433</v>
      </c>
      <c r="BG26" s="158">
        <f t="shared" si="112"/>
        <v>602.76485238508349</v>
      </c>
      <c r="BH26" s="158">
        <f t="shared" si="113"/>
        <v>875.50577424282051</v>
      </c>
      <c r="BI26" s="158">
        <f t="shared" si="114"/>
        <v>949.9482012322087</v>
      </c>
      <c r="BJ26" s="159">
        <f t="shared" ref="BJ26" si="118">SUM(BE26:BI26)</f>
        <v>2760.9892260688557</v>
      </c>
      <c r="BL26" s="370">
        <f t="shared" ref="BL26" si="119">BE26*$BL$2/Thousands</f>
        <v>0</v>
      </c>
      <c r="BM26" s="370">
        <f t="shared" ref="BM26" si="120">BF26*$BL$2/Thousands</f>
        <v>0.35199713232747076</v>
      </c>
      <c r="BN26" s="370">
        <f t="shared" ref="BN26" si="121">BG26*$BL$2/Thousands</f>
        <v>0.63759126607844396</v>
      </c>
      <c r="BO26" s="370">
        <f t="shared" ref="BO26" si="122">BH26*$BL$2/Thousands</f>
        <v>0.92609055231018367</v>
      </c>
      <c r="BP26" s="370">
        <f t="shared" ref="BP26" si="123">BI26*$BL$2/Thousands</f>
        <v>1.0048340973034031</v>
      </c>
      <c r="BQ26" s="289">
        <f t="shared" si="10"/>
        <v>2.9205130480195018</v>
      </c>
      <c r="BR26" s="278"/>
    </row>
    <row r="27" spans="2:70" x14ac:dyDescent="0.3">
      <c r="B27" s="251" t="s">
        <v>557</v>
      </c>
      <c r="D27" s="539"/>
      <c r="E27" s="539"/>
      <c r="F27" s="539"/>
      <c r="G27" s="538"/>
      <c r="H27" s="539"/>
      <c r="I27" s="539"/>
      <c r="J27" s="539"/>
      <c r="K27" s="539"/>
      <c r="L27" s="539"/>
      <c r="N27" s="539"/>
      <c r="O27" s="539"/>
      <c r="P27" s="539"/>
      <c r="Q27" s="538"/>
      <c r="R27" s="539"/>
      <c r="S27" s="539"/>
      <c r="T27" s="539"/>
      <c r="U27" s="539"/>
      <c r="V27" s="539"/>
      <c r="X27" s="539"/>
      <c r="Y27" s="539"/>
      <c r="Z27" s="539"/>
      <c r="AA27" s="538"/>
      <c r="AB27" s="539"/>
      <c r="AC27" s="539"/>
      <c r="AD27" s="539"/>
      <c r="AE27" s="539"/>
      <c r="AF27" s="539"/>
      <c r="AH27" s="158">
        <v>0</v>
      </c>
      <c r="AI27" s="158">
        <v>0</v>
      </c>
      <c r="AJ27" s="158">
        <v>0</v>
      </c>
      <c r="AK27" s="269">
        <v>33841.488484627771</v>
      </c>
      <c r="AL27" s="158">
        <v>12993.852555332685</v>
      </c>
      <c r="AM27" s="158">
        <v>0</v>
      </c>
      <c r="AN27" s="158">
        <v>0</v>
      </c>
      <c r="AO27" s="158">
        <v>0</v>
      </c>
      <c r="AP27" s="158">
        <f t="shared" si="80"/>
        <v>46835.341039960455</v>
      </c>
      <c r="AR27" s="158">
        <f t="shared" ref="AR27:AY27" si="124">SUBTOTAL(9,AR28:AR32)</f>
        <v>0</v>
      </c>
      <c r="AS27" s="158">
        <f t="shared" si="124"/>
        <v>0</v>
      </c>
      <c r="AT27" s="158">
        <f t="shared" si="124"/>
        <v>0</v>
      </c>
      <c r="AU27" s="269">
        <f t="shared" si="124"/>
        <v>3613.1976177305205</v>
      </c>
      <c r="AV27" s="158">
        <f t="shared" si="124"/>
        <v>1371.793896856241</v>
      </c>
      <c r="AW27" s="158">
        <f t="shared" si="124"/>
        <v>0</v>
      </c>
      <c r="AX27" s="158">
        <f t="shared" si="124"/>
        <v>0</v>
      </c>
      <c r="AY27" s="158">
        <f t="shared" si="124"/>
        <v>0</v>
      </c>
      <c r="AZ27" s="158">
        <f t="shared" si="87"/>
        <v>4984.9915145867617</v>
      </c>
      <c r="BB27" s="366">
        <f t="shared" ref="BB27:BI27" si="125">SUBTOTAL(9,BB28:BB32)</f>
        <v>0</v>
      </c>
      <c r="BC27" s="366">
        <f t="shared" si="125"/>
        <v>0</v>
      </c>
      <c r="BD27" s="366">
        <f t="shared" si="125"/>
        <v>0</v>
      </c>
      <c r="BE27" s="372">
        <f t="shared" si="125"/>
        <v>37454.68610235829</v>
      </c>
      <c r="BF27" s="366">
        <f t="shared" si="125"/>
        <v>14365.646452188925</v>
      </c>
      <c r="BG27" s="158">
        <f t="shared" si="125"/>
        <v>0</v>
      </c>
      <c r="BH27" s="158">
        <f t="shared" si="125"/>
        <v>0</v>
      </c>
      <c r="BI27" s="158">
        <f t="shared" si="125"/>
        <v>0</v>
      </c>
      <c r="BJ27" s="158">
        <f t="shared" si="95"/>
        <v>51820.332554547218</v>
      </c>
      <c r="BL27" s="285">
        <f t="shared" si="115"/>
        <v>39.618734632716773</v>
      </c>
      <c r="BM27" s="285">
        <f t="shared" si="115"/>
        <v>15.195661580537621</v>
      </c>
      <c r="BN27" s="285">
        <f t="shared" si="115"/>
        <v>0</v>
      </c>
      <c r="BO27" s="285">
        <f t="shared" si="115"/>
        <v>0</v>
      </c>
      <c r="BP27" s="285">
        <f t="shared" si="115"/>
        <v>0</v>
      </c>
      <c r="BQ27" s="289">
        <f t="shared" si="10"/>
        <v>54.814396213254398</v>
      </c>
    </row>
    <row r="28" spans="2:70" outlineLevel="1" x14ac:dyDescent="0.3">
      <c r="C28" s="1" t="s">
        <v>44</v>
      </c>
      <c r="D28" s="539"/>
      <c r="E28" s="539"/>
      <c r="F28" s="539"/>
      <c r="G28" s="538"/>
      <c r="H28" s="539"/>
      <c r="I28" s="539"/>
      <c r="J28" s="539"/>
      <c r="K28" s="539"/>
      <c r="L28" s="539"/>
      <c r="M28" s="158"/>
      <c r="N28" s="537"/>
      <c r="O28" s="537"/>
      <c r="P28" s="537"/>
      <c r="Q28" s="536"/>
      <c r="R28" s="537"/>
      <c r="S28" s="537"/>
      <c r="T28" s="537"/>
      <c r="U28" s="537"/>
      <c r="V28" s="539"/>
      <c r="X28" s="539"/>
      <c r="Y28" s="539"/>
      <c r="Z28" s="539"/>
      <c r="AA28" s="538"/>
      <c r="AB28" s="539"/>
      <c r="AC28" s="539"/>
      <c r="AD28" s="539"/>
      <c r="AE28" s="539"/>
      <c r="AF28" s="539"/>
      <c r="AH28" s="159">
        <v>0</v>
      </c>
      <c r="AI28" s="159">
        <v>0</v>
      </c>
      <c r="AJ28" s="159">
        <v>0</v>
      </c>
      <c r="AK28" s="270">
        <v>12930.353853130231</v>
      </c>
      <c r="AL28" s="159">
        <v>4412.1401367951457</v>
      </c>
      <c r="AM28" s="159">
        <v>0</v>
      </c>
      <c r="AN28" s="159">
        <v>0</v>
      </c>
      <c r="AO28" s="159">
        <v>0</v>
      </c>
      <c r="AP28" s="158">
        <f t="shared" si="80"/>
        <v>17342.493989925377</v>
      </c>
      <c r="AR28" s="158">
        <f>AH28*AusNet_Overheads!H$20</f>
        <v>0</v>
      </c>
      <c r="AS28" s="159">
        <f>AI28*AusNet_Overheads!I$20</f>
        <v>0</v>
      </c>
      <c r="AT28" s="159">
        <f>AJ28*AusNet_Overheads!J$20</f>
        <v>0</v>
      </c>
      <c r="AU28" s="270">
        <f>AK28*AusNet_Overheads!K$20</f>
        <v>1381.888933359078</v>
      </c>
      <c r="AV28" s="159">
        <f>AL28*AusNet_Overheads!L$20</f>
        <v>466.27957742740841</v>
      </c>
      <c r="AW28" s="159">
        <f>AM28*AusNet_Overheads!M$20</f>
        <v>0</v>
      </c>
      <c r="AX28" s="159">
        <f>AN28*AusNet_Overheads!N$20</f>
        <v>0</v>
      </c>
      <c r="AY28" s="159">
        <f>AO28*AusNet_Overheads!O$20</f>
        <v>0</v>
      </c>
      <c r="AZ28" s="159">
        <f t="shared" si="87"/>
        <v>1848.1685107864864</v>
      </c>
      <c r="BB28" s="158">
        <f t="shared" ref="BB28:BB32" si="126">AR28+AH28</f>
        <v>0</v>
      </c>
      <c r="BC28" s="158">
        <f t="shared" ref="BC28:BC32" si="127">AS28+AI28</f>
        <v>0</v>
      </c>
      <c r="BD28" s="158">
        <f t="shared" ref="BD28:BD32" si="128">AT28+AJ28</f>
        <v>0</v>
      </c>
      <c r="BE28" s="269">
        <f t="shared" ref="BE28:BE32" si="129">AU28+AK28</f>
        <v>14312.242786489309</v>
      </c>
      <c r="BF28" s="158">
        <f t="shared" ref="BF28:BF32" si="130">AV28+AL28</f>
        <v>4878.4197142225539</v>
      </c>
      <c r="BG28" s="158">
        <f t="shared" ref="BG28:BG32" si="131">AW28+AM28</f>
        <v>0</v>
      </c>
      <c r="BH28" s="158">
        <f t="shared" ref="BH28:BH32" si="132">AX28+AN28</f>
        <v>0</v>
      </c>
      <c r="BI28" s="158">
        <f t="shared" ref="BI28:BI32" si="133">AY28+AO28</f>
        <v>0</v>
      </c>
      <c r="BJ28" s="159">
        <f t="shared" si="95"/>
        <v>19190.662500711864</v>
      </c>
      <c r="BL28" s="285">
        <f t="shared" ref="BL28:BP33" si="134">BE28*$BL$2/Thousands</f>
        <v>15.139172369708692</v>
      </c>
      <c r="BM28" s="285">
        <f t="shared" si="134"/>
        <v>5.1602839643776353</v>
      </c>
      <c r="BN28" s="285">
        <f t="shared" si="134"/>
        <v>0</v>
      </c>
      <c r="BO28" s="285">
        <f t="shared" si="134"/>
        <v>0</v>
      </c>
      <c r="BP28" s="285">
        <f t="shared" si="134"/>
        <v>0</v>
      </c>
      <c r="BQ28" s="289">
        <f t="shared" si="10"/>
        <v>20.299456334086329</v>
      </c>
      <c r="BR28" s="278"/>
    </row>
    <row r="29" spans="2:70" outlineLevel="1" x14ac:dyDescent="0.3">
      <c r="C29" s="1" t="s">
        <v>45</v>
      </c>
      <c r="D29" s="539"/>
      <c r="E29" s="539"/>
      <c r="F29" s="539"/>
      <c r="G29" s="538"/>
      <c r="H29" s="539"/>
      <c r="I29" s="539"/>
      <c r="J29" s="539"/>
      <c r="K29" s="539"/>
      <c r="L29" s="539"/>
      <c r="M29" s="158"/>
      <c r="N29" s="537"/>
      <c r="O29" s="537"/>
      <c r="P29" s="537"/>
      <c r="Q29" s="536"/>
      <c r="R29" s="537"/>
      <c r="S29" s="537"/>
      <c r="T29" s="537"/>
      <c r="U29" s="537"/>
      <c r="V29" s="539"/>
      <c r="X29" s="539"/>
      <c r="Y29" s="539"/>
      <c r="Z29" s="539"/>
      <c r="AA29" s="538"/>
      <c r="AB29" s="539"/>
      <c r="AC29" s="539"/>
      <c r="AD29" s="539"/>
      <c r="AE29" s="539"/>
      <c r="AF29" s="539"/>
      <c r="AH29" s="159">
        <v>0</v>
      </c>
      <c r="AI29" s="159">
        <v>0</v>
      </c>
      <c r="AJ29" s="159">
        <v>0</v>
      </c>
      <c r="AK29" s="270">
        <v>15764.874718280229</v>
      </c>
      <c r="AL29" s="159">
        <v>7133.2673967823102</v>
      </c>
      <c r="AM29" s="159">
        <v>0</v>
      </c>
      <c r="AN29" s="159">
        <v>0</v>
      </c>
      <c r="AO29" s="159">
        <v>0</v>
      </c>
      <c r="AP29" s="158">
        <f t="shared" si="80"/>
        <v>22898.142115062539</v>
      </c>
      <c r="AR29" s="159">
        <f>AH29*AusNet_Overheads!H$20</f>
        <v>0</v>
      </c>
      <c r="AS29" s="159">
        <f>AI29*AusNet_Overheads!I$20</f>
        <v>0</v>
      </c>
      <c r="AT29" s="159">
        <f>AJ29*AusNet_Overheads!J$20</f>
        <v>0</v>
      </c>
      <c r="AU29" s="270">
        <f>AK29*AusNet_Overheads!K$20</f>
        <v>1684.8190046794339</v>
      </c>
      <c r="AV29" s="159">
        <f>AL29*AusNet_Overheads!L$20</f>
        <v>753.85114804271564</v>
      </c>
      <c r="AW29" s="159">
        <f>AM29*AusNet_Overheads!M$20</f>
        <v>0</v>
      </c>
      <c r="AX29" s="159">
        <f>AN29*AusNet_Overheads!N$20</f>
        <v>0</v>
      </c>
      <c r="AY29" s="159">
        <f>AO29*AusNet_Overheads!O$20</f>
        <v>0</v>
      </c>
      <c r="AZ29" s="159">
        <f t="shared" si="87"/>
        <v>2438.6701527221494</v>
      </c>
      <c r="BB29" s="158">
        <f t="shared" si="126"/>
        <v>0</v>
      </c>
      <c r="BC29" s="158">
        <f t="shared" si="127"/>
        <v>0</v>
      </c>
      <c r="BD29" s="158">
        <f t="shared" si="128"/>
        <v>0</v>
      </c>
      <c r="BE29" s="269">
        <f t="shared" si="129"/>
        <v>17449.693722959662</v>
      </c>
      <c r="BF29" s="158">
        <f t="shared" si="130"/>
        <v>7887.1185448250262</v>
      </c>
      <c r="BG29" s="158">
        <f t="shared" si="131"/>
        <v>0</v>
      </c>
      <c r="BH29" s="158">
        <f t="shared" si="132"/>
        <v>0</v>
      </c>
      <c r="BI29" s="158">
        <f t="shared" si="133"/>
        <v>0</v>
      </c>
      <c r="BJ29" s="159">
        <f t="shared" si="95"/>
        <v>25336.812267784688</v>
      </c>
      <c r="BL29" s="285">
        <f t="shared" si="134"/>
        <v>18.457898249175113</v>
      </c>
      <c r="BM29" s="285">
        <f t="shared" si="134"/>
        <v>8.3428187274149188</v>
      </c>
      <c r="BN29" s="285">
        <f t="shared" si="134"/>
        <v>0</v>
      </c>
      <c r="BO29" s="285">
        <f t="shared" si="134"/>
        <v>0</v>
      </c>
      <c r="BP29" s="285">
        <f t="shared" si="134"/>
        <v>0</v>
      </c>
      <c r="BQ29" s="289">
        <f t="shared" si="10"/>
        <v>26.800716976590031</v>
      </c>
      <c r="BR29" s="278"/>
    </row>
    <row r="30" spans="2:70" outlineLevel="1" x14ac:dyDescent="0.3">
      <c r="C30" s="1" t="s">
        <v>48</v>
      </c>
      <c r="D30" s="539"/>
      <c r="E30" s="539"/>
      <c r="F30" s="539"/>
      <c r="G30" s="538"/>
      <c r="H30" s="539"/>
      <c r="I30" s="539"/>
      <c r="J30" s="539"/>
      <c r="K30" s="539"/>
      <c r="L30" s="539"/>
      <c r="M30" s="158"/>
      <c r="N30" s="537"/>
      <c r="O30" s="537"/>
      <c r="P30" s="537"/>
      <c r="Q30" s="536"/>
      <c r="R30" s="537"/>
      <c r="S30" s="537"/>
      <c r="T30" s="537"/>
      <c r="U30" s="537"/>
      <c r="V30" s="539"/>
      <c r="X30" s="539"/>
      <c r="Y30" s="539"/>
      <c r="Z30" s="539"/>
      <c r="AA30" s="538"/>
      <c r="AB30" s="539"/>
      <c r="AC30" s="539"/>
      <c r="AD30" s="539"/>
      <c r="AE30" s="539"/>
      <c r="AF30" s="539"/>
      <c r="AH30" s="159">
        <v>0</v>
      </c>
      <c r="AI30" s="159">
        <v>0</v>
      </c>
      <c r="AJ30" s="159">
        <v>0</v>
      </c>
      <c r="AK30" s="270">
        <v>5113.511487732073</v>
      </c>
      <c r="AL30" s="159">
        <v>1435.1028827774544</v>
      </c>
      <c r="AM30" s="159">
        <v>0</v>
      </c>
      <c r="AN30" s="159">
        <v>0</v>
      </c>
      <c r="AO30" s="159">
        <v>0</v>
      </c>
      <c r="AP30" s="158">
        <f t="shared" si="80"/>
        <v>6548.6143705095274</v>
      </c>
      <c r="AR30" s="159">
        <f>AH30*AusNet_Overheads!H$20</f>
        <v>0</v>
      </c>
      <c r="AS30" s="159">
        <f>AI30*AusNet_Overheads!I$20</f>
        <v>0</v>
      </c>
      <c r="AT30" s="159">
        <f>AJ30*AusNet_Overheads!J$20</f>
        <v>0</v>
      </c>
      <c r="AU30" s="270">
        <f>AK30*AusNet_Overheads!K$20</f>
        <v>546.48967969200839</v>
      </c>
      <c r="AV30" s="159">
        <f>AL30*AusNet_Overheads!L$20</f>
        <v>151.6631713861168</v>
      </c>
      <c r="AW30" s="159">
        <f>AM30*AusNet_Overheads!M$20</f>
        <v>0</v>
      </c>
      <c r="AX30" s="159">
        <f>AN30*AusNet_Overheads!N$20</f>
        <v>0</v>
      </c>
      <c r="AY30" s="159">
        <f>AO30*AusNet_Overheads!O$20</f>
        <v>0</v>
      </c>
      <c r="AZ30" s="159">
        <f t="shared" si="87"/>
        <v>698.1528510781252</v>
      </c>
      <c r="BB30" s="158">
        <f t="shared" si="126"/>
        <v>0</v>
      </c>
      <c r="BC30" s="158">
        <f t="shared" si="127"/>
        <v>0</v>
      </c>
      <c r="BD30" s="158">
        <f t="shared" si="128"/>
        <v>0</v>
      </c>
      <c r="BE30" s="269">
        <f t="shared" si="129"/>
        <v>5660.0011674240814</v>
      </c>
      <c r="BF30" s="158">
        <f t="shared" si="130"/>
        <v>1586.7660541635712</v>
      </c>
      <c r="BG30" s="158">
        <f t="shared" si="131"/>
        <v>0</v>
      </c>
      <c r="BH30" s="158">
        <f t="shared" si="132"/>
        <v>0</v>
      </c>
      <c r="BI30" s="158">
        <f t="shared" si="133"/>
        <v>0</v>
      </c>
      <c r="BJ30" s="159">
        <f t="shared" si="95"/>
        <v>7246.7672215876528</v>
      </c>
      <c r="BL30" s="285">
        <f t="shared" si="134"/>
        <v>5.9870234570974734</v>
      </c>
      <c r="BM30" s="285">
        <f t="shared" si="134"/>
        <v>1.6784458706263556</v>
      </c>
      <c r="BN30" s="285">
        <f t="shared" si="134"/>
        <v>0</v>
      </c>
      <c r="BO30" s="285">
        <f t="shared" si="134"/>
        <v>0</v>
      </c>
      <c r="BP30" s="285">
        <f t="shared" si="134"/>
        <v>0</v>
      </c>
      <c r="BQ30" s="289">
        <f t="shared" si="10"/>
        <v>7.6654693277238293</v>
      </c>
      <c r="BR30" s="278"/>
    </row>
    <row r="31" spans="2:70" s="55" customFormat="1" outlineLevel="1" x14ac:dyDescent="0.3">
      <c r="C31" s="55" t="s">
        <v>50</v>
      </c>
      <c r="D31" s="547"/>
      <c r="E31" s="547"/>
      <c r="F31" s="547"/>
      <c r="G31" s="548"/>
      <c r="H31" s="547"/>
      <c r="I31" s="547"/>
      <c r="J31" s="547"/>
      <c r="K31" s="547"/>
      <c r="L31" s="547"/>
      <c r="M31" s="279"/>
      <c r="N31" s="551"/>
      <c r="O31" s="551"/>
      <c r="P31" s="551"/>
      <c r="Q31" s="552"/>
      <c r="R31" s="551"/>
      <c r="S31" s="551"/>
      <c r="T31" s="551"/>
      <c r="U31" s="551"/>
      <c r="V31" s="547"/>
      <c r="X31" s="547"/>
      <c r="Y31" s="547"/>
      <c r="Z31" s="547"/>
      <c r="AA31" s="548"/>
      <c r="AB31" s="547"/>
      <c r="AC31" s="547"/>
      <c r="AD31" s="547"/>
      <c r="AE31" s="547"/>
      <c r="AF31" s="539"/>
      <c r="AH31" s="281">
        <v>0</v>
      </c>
      <c r="AI31" s="281">
        <v>0</v>
      </c>
      <c r="AJ31" s="281">
        <v>0</v>
      </c>
      <c r="AK31" s="282">
        <v>0</v>
      </c>
      <c r="AL31" s="281">
        <v>0</v>
      </c>
      <c r="AM31" s="281">
        <v>0</v>
      </c>
      <c r="AN31" s="281">
        <v>0</v>
      </c>
      <c r="AO31" s="281">
        <v>0</v>
      </c>
      <c r="AP31" s="158">
        <f t="shared" si="80"/>
        <v>0</v>
      </c>
      <c r="AR31" s="286"/>
      <c r="AS31" s="286"/>
      <c r="AT31" s="286"/>
      <c r="AU31" s="287"/>
      <c r="AV31" s="286"/>
      <c r="AW31" s="286"/>
      <c r="AX31" s="286"/>
      <c r="AY31" s="286"/>
      <c r="AZ31" s="281">
        <f t="shared" si="87"/>
        <v>0</v>
      </c>
      <c r="BB31" s="279">
        <f t="shared" si="126"/>
        <v>0</v>
      </c>
      <c r="BC31" s="279">
        <f t="shared" si="127"/>
        <v>0</v>
      </c>
      <c r="BD31" s="279">
        <f t="shared" si="128"/>
        <v>0</v>
      </c>
      <c r="BE31" s="280">
        <f t="shared" si="129"/>
        <v>0</v>
      </c>
      <c r="BF31" s="279">
        <f t="shared" si="130"/>
        <v>0</v>
      </c>
      <c r="BG31" s="279">
        <f t="shared" si="131"/>
        <v>0</v>
      </c>
      <c r="BH31" s="279">
        <f t="shared" si="132"/>
        <v>0</v>
      </c>
      <c r="BI31" s="279">
        <f t="shared" si="133"/>
        <v>0</v>
      </c>
      <c r="BJ31" s="281">
        <f t="shared" si="95"/>
        <v>0</v>
      </c>
      <c r="BL31" s="317">
        <f t="shared" si="134"/>
        <v>0</v>
      </c>
      <c r="BM31" s="317">
        <f t="shared" si="134"/>
        <v>0</v>
      </c>
      <c r="BN31" s="317">
        <f t="shared" si="134"/>
        <v>0</v>
      </c>
      <c r="BO31" s="317">
        <f t="shared" si="134"/>
        <v>0</v>
      </c>
      <c r="BP31" s="317">
        <f t="shared" si="134"/>
        <v>0</v>
      </c>
      <c r="BQ31" s="361">
        <f t="shared" si="10"/>
        <v>0</v>
      </c>
      <c r="BR31" s="283"/>
    </row>
    <row r="32" spans="2:70" s="55" customFormat="1" outlineLevel="1" x14ac:dyDescent="0.3">
      <c r="C32" s="1" t="s">
        <v>397</v>
      </c>
      <c r="D32" s="547"/>
      <c r="E32" s="547"/>
      <c r="F32" s="547"/>
      <c r="G32" s="548"/>
      <c r="H32" s="547"/>
      <c r="I32" s="547"/>
      <c r="J32" s="547"/>
      <c r="K32" s="547"/>
      <c r="L32" s="547"/>
      <c r="M32" s="279"/>
      <c r="N32" s="551"/>
      <c r="O32" s="551"/>
      <c r="P32" s="551"/>
      <c r="Q32" s="552"/>
      <c r="R32" s="551"/>
      <c r="S32" s="551"/>
      <c r="T32" s="551"/>
      <c r="U32" s="551"/>
      <c r="V32" s="547"/>
      <c r="X32" s="547"/>
      <c r="Y32" s="547"/>
      <c r="Z32" s="547"/>
      <c r="AA32" s="548"/>
      <c r="AB32" s="547"/>
      <c r="AC32" s="547"/>
      <c r="AD32" s="547"/>
      <c r="AE32" s="547"/>
      <c r="AF32" s="539"/>
      <c r="AH32" s="281">
        <v>0</v>
      </c>
      <c r="AI32" s="281">
        <v>0</v>
      </c>
      <c r="AJ32" s="281">
        <v>0</v>
      </c>
      <c r="AK32" s="282">
        <v>32.748425485238016</v>
      </c>
      <c r="AL32" s="281">
        <v>13.342138977774445</v>
      </c>
      <c r="AM32" s="281">
        <v>0</v>
      </c>
      <c r="AN32" s="281">
        <v>0</v>
      </c>
      <c r="AO32" s="281">
        <v>0</v>
      </c>
      <c r="AP32" s="366">
        <f t="shared" si="80"/>
        <v>46.090564463012463</v>
      </c>
      <c r="AR32" s="286"/>
      <c r="AS32" s="286"/>
      <c r="AT32" s="286"/>
      <c r="AU32" s="287"/>
      <c r="AV32" s="286"/>
      <c r="AW32" s="286"/>
      <c r="AX32" s="286"/>
      <c r="AY32" s="286"/>
      <c r="AZ32" s="281">
        <f t="shared" si="87"/>
        <v>0</v>
      </c>
      <c r="BB32" s="279">
        <f t="shared" si="126"/>
        <v>0</v>
      </c>
      <c r="BC32" s="279">
        <f t="shared" si="127"/>
        <v>0</v>
      </c>
      <c r="BD32" s="279">
        <f t="shared" si="128"/>
        <v>0</v>
      </c>
      <c r="BE32" s="280">
        <f t="shared" si="129"/>
        <v>32.748425485238016</v>
      </c>
      <c r="BF32" s="279">
        <f t="shared" si="130"/>
        <v>13.342138977774445</v>
      </c>
      <c r="BG32" s="279">
        <f t="shared" si="131"/>
        <v>0</v>
      </c>
      <c r="BH32" s="279">
        <f t="shared" si="132"/>
        <v>0</v>
      </c>
      <c r="BI32" s="279">
        <f t="shared" si="133"/>
        <v>0</v>
      </c>
      <c r="BJ32" s="281">
        <f t="shared" ref="BJ32" si="135">SUM(BE32:BI32)</f>
        <v>46.090564463012463</v>
      </c>
      <c r="BL32" s="374">
        <f t="shared" ref="BL32" si="136">BE32*$BL$2/Thousands</f>
        <v>3.4640556735496215E-2</v>
      </c>
      <c r="BM32" s="374">
        <f t="shared" ref="BM32" si="137">BF32*$BL$2/Thousands</f>
        <v>1.4113018118712526E-2</v>
      </c>
      <c r="BN32" s="374">
        <f t="shared" ref="BN32" si="138">BG32*$BL$2/Thousands</f>
        <v>0</v>
      </c>
      <c r="BO32" s="374">
        <f t="shared" ref="BO32" si="139">BH32*$BL$2/Thousands</f>
        <v>0</v>
      </c>
      <c r="BP32" s="374">
        <f t="shared" ref="BP32" si="140">BI32*$BL$2/Thousands</f>
        <v>0</v>
      </c>
      <c r="BQ32" s="361">
        <f t="shared" si="10"/>
        <v>4.8753574854208739E-2</v>
      </c>
      <c r="BR32" s="283"/>
    </row>
    <row r="33" spans="2:73" x14ac:dyDescent="0.3">
      <c r="B33" s="251" t="s">
        <v>503</v>
      </c>
      <c r="D33" s="539"/>
      <c r="E33" s="539"/>
      <c r="F33" s="539"/>
      <c r="G33" s="538"/>
      <c r="H33" s="539"/>
      <c r="I33" s="539"/>
      <c r="J33" s="539"/>
      <c r="K33" s="539"/>
      <c r="L33" s="539"/>
      <c r="M33" s="204"/>
      <c r="N33" s="539"/>
      <c r="O33" s="539"/>
      <c r="P33" s="539"/>
      <c r="Q33" s="538"/>
      <c r="R33" s="539"/>
      <c r="S33" s="539"/>
      <c r="T33" s="539"/>
      <c r="U33" s="539"/>
      <c r="V33" s="539"/>
      <c r="W33" s="2"/>
      <c r="X33" s="539"/>
      <c r="Y33" s="539"/>
      <c r="Z33" s="539"/>
      <c r="AA33" s="538"/>
      <c r="AB33" s="539"/>
      <c r="AC33" s="539"/>
      <c r="AD33" s="539"/>
      <c r="AE33" s="539"/>
      <c r="AF33" s="539"/>
      <c r="AG33" s="2"/>
      <c r="AH33" s="158">
        <v>0</v>
      </c>
      <c r="AI33" s="158">
        <v>0</v>
      </c>
      <c r="AJ33" s="158">
        <v>3984.4985324170325</v>
      </c>
      <c r="AK33" s="269">
        <v>51595.087102212412</v>
      </c>
      <c r="AL33" s="158">
        <v>36017.861409445992</v>
      </c>
      <c r="AM33" s="158">
        <v>39867.5229858893</v>
      </c>
      <c r="AN33" s="158">
        <v>34721.248398808595</v>
      </c>
      <c r="AO33" s="158">
        <v>41298.970885593051</v>
      </c>
      <c r="AP33" s="158">
        <f>SUM(AK33:AO33)</f>
        <v>203500.69078194938</v>
      </c>
      <c r="AQ33" s="2"/>
      <c r="AR33" s="158">
        <f>SUBTOTAL(9,AR34:AR38)</f>
        <v>0</v>
      </c>
      <c r="AS33" s="158">
        <f t="shared" ref="AS33:AT33" si="141">SUBTOTAL(9,AS34:AS38)</f>
        <v>0</v>
      </c>
      <c r="AT33" s="158">
        <f t="shared" si="141"/>
        <v>0</v>
      </c>
      <c r="AU33" s="269">
        <f t="shared" ref="AU33" si="142">SUBTOTAL(9,AU34:AU38)</f>
        <v>2538.1800924575759</v>
      </c>
      <c r="AV33" s="158">
        <f t="shared" ref="AV33" si="143">SUBTOTAL(9,AV34:AV38)</f>
        <v>2495.0947915740121</v>
      </c>
      <c r="AW33" s="158">
        <f t="shared" ref="AW33" si="144">SUBTOTAL(9,AW34:AW38)</f>
        <v>2495.0947915740117</v>
      </c>
      <c r="AX33" s="158">
        <f t="shared" ref="AX33" si="145">SUBTOTAL(9,AX34:AX38)</f>
        <v>2495.0947915740117</v>
      </c>
      <c r="AY33" s="158">
        <f t="shared" ref="AY33" si="146">SUBTOTAL(9,AY34:AY38)</f>
        <v>2495.0947915740112</v>
      </c>
      <c r="AZ33" s="158">
        <f t="shared" si="87"/>
        <v>12518.559258753623</v>
      </c>
      <c r="BB33" s="158">
        <f>SUBTOTAL(9,BB34:BB38)</f>
        <v>0</v>
      </c>
      <c r="BC33" s="158">
        <f t="shared" ref="BC33" si="147">SUBTOTAL(9,BC34:BC38)</f>
        <v>0</v>
      </c>
      <c r="BD33" s="158">
        <f t="shared" ref="BD33" si="148">SUBTOTAL(9,BD34:BD38)</f>
        <v>3984.4985324170325</v>
      </c>
      <c r="BE33" s="269">
        <f t="shared" ref="BE33" si="149">SUBTOTAL(9,BE34:BE38)</f>
        <v>54133.267194669985</v>
      </c>
      <c r="BF33" s="158">
        <f t="shared" ref="BF33" si="150">SUBTOTAL(9,BF34:BF38)</f>
        <v>38512.956201020002</v>
      </c>
      <c r="BG33" s="158">
        <f t="shared" ref="BG33" si="151">SUBTOTAL(9,BG34:BG38)</f>
        <v>42362.617777463318</v>
      </c>
      <c r="BH33" s="158">
        <f t="shared" ref="BH33" si="152">SUBTOTAL(9,BH34:BH38)</f>
        <v>37216.343190382606</v>
      </c>
      <c r="BI33" s="158">
        <f t="shared" ref="BI33" si="153">SUBTOTAL(9,BI34:BI38)</f>
        <v>43794.065677167062</v>
      </c>
      <c r="BJ33" s="158">
        <f t="shared" si="95"/>
        <v>216019.25004070299</v>
      </c>
      <c r="BL33" s="285">
        <f t="shared" si="134"/>
        <v>57.260967077028702</v>
      </c>
      <c r="BM33" s="285">
        <f t="shared" si="134"/>
        <v>40.738149225967824</v>
      </c>
      <c r="BN33" s="285">
        <f t="shared" si="134"/>
        <v>44.810235693494533</v>
      </c>
      <c r="BO33" s="285">
        <f t="shared" si="134"/>
        <v>39.366620796938051</v>
      </c>
      <c r="BP33" s="317">
        <f t="shared" si="134"/>
        <v>46.32438947184783</v>
      </c>
      <c r="BQ33" s="289">
        <f t="shared" si="10"/>
        <v>228.50036226527692</v>
      </c>
    </row>
    <row r="34" spans="2:73" outlineLevel="1" x14ac:dyDescent="0.3">
      <c r="C34" s="1" t="s">
        <v>499</v>
      </c>
      <c r="D34" s="539"/>
      <c r="E34" s="539"/>
      <c r="F34" s="539"/>
      <c r="G34" s="538"/>
      <c r="H34" s="539"/>
      <c r="I34" s="539"/>
      <c r="J34" s="539"/>
      <c r="K34" s="539"/>
      <c r="L34" s="539"/>
      <c r="M34" s="204"/>
      <c r="N34" s="553"/>
      <c r="O34" s="553"/>
      <c r="P34" s="553"/>
      <c r="Q34" s="554"/>
      <c r="R34" s="553"/>
      <c r="S34" s="553"/>
      <c r="T34" s="553"/>
      <c r="U34" s="553"/>
      <c r="V34" s="539"/>
      <c r="W34" s="2"/>
      <c r="X34" s="549"/>
      <c r="Y34" s="549"/>
      <c r="Z34" s="549"/>
      <c r="AA34" s="550"/>
      <c r="AB34" s="549"/>
      <c r="AC34" s="549"/>
      <c r="AD34" s="549"/>
      <c r="AE34" s="549"/>
      <c r="AF34" s="539"/>
      <c r="AG34" s="2"/>
      <c r="AH34" s="159">
        <v>0</v>
      </c>
      <c r="AI34" s="159">
        <v>0</v>
      </c>
      <c r="AJ34" s="159">
        <v>0</v>
      </c>
      <c r="AK34" s="270">
        <v>34188.24960561718</v>
      </c>
      <c r="AL34" s="159">
        <v>26140.147253099531</v>
      </c>
      <c r="AM34" s="159">
        <v>33633.745029755315</v>
      </c>
      <c r="AN34" s="159">
        <v>26032.447178289302</v>
      </c>
      <c r="AO34" s="159">
        <v>24841.237781728996</v>
      </c>
      <c r="AP34" s="158">
        <f t="shared" ref="AP34:AP40" si="154">SUM(AK34:AO34)</f>
        <v>144835.82684849031</v>
      </c>
      <c r="AQ34" s="2"/>
      <c r="AR34" s="159">
        <f>AH34*AusNet_Overheads!H$22</f>
        <v>0</v>
      </c>
      <c r="AS34" s="159">
        <f>AI34*AusNet_Overheads!I$22</f>
        <v>0</v>
      </c>
      <c r="AT34" s="159">
        <f>AJ34*AusNet_Overheads!J$22</f>
        <v>0</v>
      </c>
      <c r="AU34" s="270">
        <f>AK34*AusNet_Overheads!K$22</f>
        <v>2020.2083752208032</v>
      </c>
      <c r="AV34" s="159">
        <f>AL34*AusNet_Overheads!L$22</f>
        <v>2177.9964386042966</v>
      </c>
      <c r="AW34" s="159">
        <f>AM34*AusNet_Overheads!M$22</f>
        <v>2449.07984470663</v>
      </c>
      <c r="AX34" s="159">
        <f>AN34*AusNet_Overheads!N$22</f>
        <v>2495.0947915740117</v>
      </c>
      <c r="AY34" s="159">
        <f>AO34*AusNet_Overheads!O$22</f>
        <v>2432.4582994171788</v>
      </c>
      <c r="AZ34" s="158">
        <f t="shared" ref="AZ34:AZ40" si="155">SUM(AU34:AY34)</f>
        <v>11574.837749522922</v>
      </c>
      <c r="BB34" s="158">
        <f t="shared" ref="BB34:BB38" si="156">AR34+AH34</f>
        <v>0</v>
      </c>
      <c r="BC34" s="158">
        <f t="shared" ref="BC34:BC38" si="157">AS34+AI34</f>
        <v>0</v>
      </c>
      <c r="BD34" s="158">
        <f t="shared" ref="BD34:BD38" si="158">AT34+AJ34</f>
        <v>0</v>
      </c>
      <c r="BE34" s="269">
        <f t="shared" ref="BE34:BE38" si="159">AU34+AK34</f>
        <v>36208.457980837986</v>
      </c>
      <c r="BF34" s="158">
        <f t="shared" ref="BF34:BF38" si="160">AV34+AL34</f>
        <v>28318.143691703826</v>
      </c>
      <c r="BG34" s="158">
        <f t="shared" ref="BG34:BG38" si="161">AW34+AM34</f>
        <v>36082.824874461949</v>
      </c>
      <c r="BH34" s="158">
        <f t="shared" ref="BH34:BH38" si="162">AX34+AN34</f>
        <v>28527.541969863312</v>
      </c>
      <c r="BI34" s="158">
        <f t="shared" ref="BI34:BI38" si="163">AY34+AO34</f>
        <v>27273.696081146176</v>
      </c>
      <c r="BJ34" s="158">
        <f t="shared" ref="BJ34:BJ39" si="164">SUM(BE34:BI34)</f>
        <v>156410.66459801327</v>
      </c>
      <c r="BL34" s="285">
        <f t="shared" ref="BL34:BP39" si="165">BE34*$BL$2/Thousands</f>
        <v>38.300502219730852</v>
      </c>
      <c r="BM34" s="285">
        <f t="shared" si="165"/>
        <v>29.954303105002271</v>
      </c>
      <c r="BN34" s="285">
        <f t="shared" si="165"/>
        <v>38.167610311653085</v>
      </c>
      <c r="BO34" s="285">
        <f t="shared" si="165"/>
        <v>30.175799950344306</v>
      </c>
      <c r="BP34" s="317">
        <f t="shared" si="165"/>
        <v>28.849509632501292</v>
      </c>
      <c r="BQ34" s="289">
        <f t="shared" si="10"/>
        <v>165.44772521923178</v>
      </c>
      <c r="BR34" s="278"/>
      <c r="BU34" s="278"/>
    </row>
    <row r="35" spans="2:73" outlineLevel="1" x14ac:dyDescent="0.3">
      <c r="C35" s="1" t="s">
        <v>520</v>
      </c>
      <c r="D35" s="539"/>
      <c r="E35" s="539"/>
      <c r="F35" s="539"/>
      <c r="G35" s="538"/>
      <c r="H35" s="539"/>
      <c r="I35" s="539"/>
      <c r="J35" s="539"/>
      <c r="K35" s="539"/>
      <c r="L35" s="539"/>
      <c r="M35" s="204"/>
      <c r="N35" s="553"/>
      <c r="O35" s="553"/>
      <c r="P35" s="553"/>
      <c r="Q35" s="554"/>
      <c r="R35" s="553"/>
      <c r="S35" s="553"/>
      <c r="T35" s="553"/>
      <c r="U35" s="553"/>
      <c r="V35" s="539"/>
      <c r="W35" s="2"/>
      <c r="X35" s="549"/>
      <c r="Y35" s="549"/>
      <c r="Z35" s="549"/>
      <c r="AA35" s="550"/>
      <c r="AB35" s="549"/>
      <c r="AC35" s="549"/>
      <c r="AD35" s="549"/>
      <c r="AE35" s="549"/>
      <c r="AF35" s="539"/>
      <c r="AG35" s="2"/>
      <c r="AH35" s="159">
        <v>0</v>
      </c>
      <c r="AI35" s="159">
        <v>0</v>
      </c>
      <c r="AJ35" s="159">
        <v>0</v>
      </c>
      <c r="AK35" s="270">
        <v>8765.7028724106021</v>
      </c>
      <c r="AL35" s="159">
        <v>3805.7902636679446</v>
      </c>
      <c r="AM35" s="159">
        <v>631.93325192737336</v>
      </c>
      <c r="AN35" s="159">
        <v>0</v>
      </c>
      <c r="AO35" s="159">
        <v>639.66892910521619</v>
      </c>
      <c r="AP35" s="158">
        <f t="shared" si="154"/>
        <v>13843.095317111136</v>
      </c>
      <c r="AQ35" s="2"/>
      <c r="AR35" s="159">
        <f>AH35*AusNet_Overheads!H$22</f>
        <v>0</v>
      </c>
      <c r="AS35" s="159">
        <f>AI35*AusNet_Overheads!I$22</f>
        <v>0</v>
      </c>
      <c r="AT35" s="159">
        <f>AJ35*AusNet_Overheads!J$22</f>
        <v>0</v>
      </c>
      <c r="AU35" s="270">
        <f>AK35*AusNet_Overheads!K$22</f>
        <v>517.97171723677275</v>
      </c>
      <c r="AV35" s="159">
        <f>AL35*AusNet_Overheads!L$22</f>
        <v>317.09835296971534</v>
      </c>
      <c r="AW35" s="159">
        <f>AM35*AusNet_Overheads!M$22</f>
        <v>46.014946867381497</v>
      </c>
      <c r="AX35" s="159">
        <f>AN35*AusNet_Overheads!N$22</f>
        <v>0</v>
      </c>
      <c r="AY35" s="159">
        <f>AO35*AusNet_Overheads!O$22</f>
        <v>62.63649215683261</v>
      </c>
      <c r="AZ35" s="158">
        <f t="shared" ref="AZ35" si="166">SUM(AU35:AY35)</f>
        <v>943.72150923070205</v>
      </c>
      <c r="BB35" s="158">
        <f t="shared" si="156"/>
        <v>0</v>
      </c>
      <c r="BC35" s="158">
        <f t="shared" si="157"/>
        <v>0</v>
      </c>
      <c r="BD35" s="158">
        <f t="shared" si="158"/>
        <v>0</v>
      </c>
      <c r="BE35" s="269">
        <f t="shared" si="159"/>
        <v>9283.6745896473749</v>
      </c>
      <c r="BF35" s="158">
        <f t="shared" si="160"/>
        <v>4122.8886166376597</v>
      </c>
      <c r="BG35" s="158">
        <f t="shared" si="161"/>
        <v>677.94819879475483</v>
      </c>
      <c r="BH35" s="158">
        <f t="shared" si="162"/>
        <v>0</v>
      </c>
      <c r="BI35" s="158">
        <f t="shared" si="163"/>
        <v>702.30542126204875</v>
      </c>
      <c r="BJ35" s="158">
        <f t="shared" si="164"/>
        <v>14786.816826341837</v>
      </c>
      <c r="BL35" s="285">
        <f t="shared" ref="BL35" si="167">BE35*$BL$2/Thousands</f>
        <v>9.8200646770492241</v>
      </c>
      <c r="BM35" s="285">
        <f t="shared" ref="BM35" si="168">BF35*$BL$2/Thousands</f>
        <v>4.3610999589322805</v>
      </c>
      <c r="BN35" s="285">
        <f t="shared" ref="BN35" si="169">BG35*$BL$2/Thousands</f>
        <v>0.71711853916956292</v>
      </c>
      <c r="BO35" s="285">
        <f t="shared" ref="BO35" si="170">BH35*$BL$2/Thousands</f>
        <v>0</v>
      </c>
      <c r="BP35" s="317">
        <f t="shared" ref="BP35" si="171">BI35*$BL$2/Thousands</f>
        <v>0.74288306782385605</v>
      </c>
      <c r="BQ35" s="289">
        <f t="shared" si="10"/>
        <v>15.641166242974924</v>
      </c>
      <c r="BR35" s="278"/>
      <c r="BU35" s="159"/>
    </row>
    <row r="36" spans="2:73" outlineLevel="1" x14ac:dyDescent="0.3">
      <c r="C36" s="1" t="s">
        <v>307</v>
      </c>
      <c r="D36" s="539"/>
      <c r="E36" s="539"/>
      <c r="F36" s="539"/>
      <c r="G36" s="538"/>
      <c r="H36" s="539"/>
      <c r="I36" s="539"/>
      <c r="J36" s="539"/>
      <c r="K36" s="539"/>
      <c r="L36" s="539"/>
      <c r="M36" s="204"/>
      <c r="N36" s="553"/>
      <c r="O36" s="553"/>
      <c r="P36" s="553"/>
      <c r="Q36" s="554"/>
      <c r="R36" s="553"/>
      <c r="S36" s="553"/>
      <c r="T36" s="553"/>
      <c r="U36" s="553"/>
      <c r="V36" s="539"/>
      <c r="W36" s="2"/>
      <c r="X36" s="549"/>
      <c r="Y36" s="549"/>
      <c r="Z36" s="549"/>
      <c r="AA36" s="550"/>
      <c r="AB36" s="549"/>
      <c r="AC36" s="549"/>
      <c r="AD36" s="549"/>
      <c r="AE36" s="549"/>
      <c r="AF36" s="539"/>
      <c r="AG36" s="2"/>
      <c r="AH36" s="159">
        <v>0</v>
      </c>
      <c r="AI36" s="159">
        <v>0</v>
      </c>
      <c r="AJ36" s="159">
        <v>3832.2806338512264</v>
      </c>
      <c r="AK36" s="270">
        <v>7401.0067607021692</v>
      </c>
      <c r="AL36" s="159">
        <v>6071.9238926785192</v>
      </c>
      <c r="AM36" s="159">
        <v>5601.8447042066109</v>
      </c>
      <c r="AN36" s="159">
        <v>8688.8012205192954</v>
      </c>
      <c r="AO36" s="159">
        <v>11216.414824259977</v>
      </c>
      <c r="AP36" s="158">
        <f t="shared" si="154"/>
        <v>38979.99140236657</v>
      </c>
      <c r="AQ36" s="2"/>
      <c r="AR36" s="164"/>
      <c r="AS36" s="164"/>
      <c r="AT36" s="164"/>
      <c r="AU36" s="288"/>
      <c r="AV36" s="164"/>
      <c r="AW36" s="164"/>
      <c r="AX36" s="164"/>
      <c r="AY36" s="164"/>
      <c r="AZ36" s="158">
        <f t="shared" si="155"/>
        <v>0</v>
      </c>
      <c r="BB36" s="158">
        <f t="shared" si="156"/>
        <v>0</v>
      </c>
      <c r="BC36" s="158">
        <f t="shared" si="157"/>
        <v>0</v>
      </c>
      <c r="BD36" s="158">
        <f t="shared" si="158"/>
        <v>3832.2806338512264</v>
      </c>
      <c r="BE36" s="269">
        <f t="shared" si="159"/>
        <v>7401.0067607021692</v>
      </c>
      <c r="BF36" s="158">
        <f t="shared" si="160"/>
        <v>6071.9238926785192</v>
      </c>
      <c r="BG36" s="158">
        <f t="shared" si="161"/>
        <v>5601.8447042066109</v>
      </c>
      <c r="BH36" s="158">
        <f t="shared" si="162"/>
        <v>8688.8012205192954</v>
      </c>
      <c r="BI36" s="158">
        <f t="shared" si="163"/>
        <v>11216.414824259977</v>
      </c>
      <c r="BJ36" s="158">
        <f t="shared" si="164"/>
        <v>38979.99140236657</v>
      </c>
      <c r="BL36" s="285">
        <f t="shared" si="165"/>
        <v>7.8286204846538512</v>
      </c>
      <c r="BM36" s="285">
        <f t="shared" si="165"/>
        <v>6.4227461620332784</v>
      </c>
      <c r="BN36" s="285">
        <f t="shared" si="165"/>
        <v>5.9255068426718829</v>
      </c>
      <c r="BO36" s="285">
        <f t="shared" si="165"/>
        <v>9.1908208465937449</v>
      </c>
      <c r="BP36" s="317">
        <f t="shared" si="165"/>
        <v>11.864474347439444</v>
      </c>
      <c r="BQ36" s="289">
        <f t="shared" si="10"/>
        <v>41.232168683392203</v>
      </c>
      <c r="BR36" s="278"/>
    </row>
    <row r="37" spans="2:73" outlineLevel="1" x14ac:dyDescent="0.3">
      <c r="C37" s="1" t="s">
        <v>592</v>
      </c>
      <c r="D37" s="539"/>
      <c r="E37" s="539"/>
      <c r="F37" s="539"/>
      <c r="G37" s="538"/>
      <c r="H37" s="539"/>
      <c r="I37" s="539"/>
      <c r="J37" s="539"/>
      <c r="K37" s="539"/>
      <c r="L37" s="539"/>
      <c r="M37" s="204"/>
      <c r="N37" s="553"/>
      <c r="O37" s="553"/>
      <c r="P37" s="553"/>
      <c r="Q37" s="554"/>
      <c r="R37" s="553"/>
      <c r="S37" s="553"/>
      <c r="T37" s="553"/>
      <c r="U37" s="553"/>
      <c r="V37" s="539"/>
      <c r="W37" s="2"/>
      <c r="X37" s="549"/>
      <c r="Y37" s="549"/>
      <c r="Z37" s="549"/>
      <c r="AA37" s="550"/>
      <c r="AB37" s="549"/>
      <c r="AC37" s="549"/>
      <c r="AD37" s="549"/>
      <c r="AE37" s="549"/>
      <c r="AF37" s="539"/>
      <c r="AG37" s="2"/>
      <c r="AH37" s="159">
        <v>0</v>
      </c>
      <c r="AI37" s="159">
        <v>0</v>
      </c>
      <c r="AJ37" s="159">
        <v>152.21789856580605</v>
      </c>
      <c r="AK37" s="270">
        <v>1240.1278634824585</v>
      </c>
      <c r="AL37" s="159">
        <v>0</v>
      </c>
      <c r="AM37" s="159">
        <v>0</v>
      </c>
      <c r="AN37" s="159">
        <v>0</v>
      </c>
      <c r="AO37" s="159">
        <v>4601.6493504988621</v>
      </c>
      <c r="AP37" s="158">
        <f t="shared" ref="AP37" si="172">SUM(AK37:AO37)</f>
        <v>5841.7772139813205</v>
      </c>
      <c r="AQ37" s="2"/>
      <c r="AR37" s="164"/>
      <c r="AS37" s="164"/>
      <c r="AT37" s="164"/>
      <c r="AU37" s="288"/>
      <c r="AV37" s="164"/>
      <c r="AW37" s="164"/>
      <c r="AX37" s="164"/>
      <c r="AY37" s="164"/>
      <c r="AZ37" s="158"/>
      <c r="BB37" s="158">
        <f t="shared" si="156"/>
        <v>0</v>
      </c>
      <c r="BC37" s="158">
        <f t="shared" si="157"/>
        <v>0</v>
      </c>
      <c r="BD37" s="158">
        <f t="shared" si="158"/>
        <v>152.21789856580605</v>
      </c>
      <c r="BE37" s="269">
        <f t="shared" si="159"/>
        <v>1240.1278634824585</v>
      </c>
      <c r="BF37" s="158">
        <f t="shared" si="160"/>
        <v>0</v>
      </c>
      <c r="BG37" s="158">
        <f t="shared" si="161"/>
        <v>0</v>
      </c>
      <c r="BH37" s="158">
        <f t="shared" si="162"/>
        <v>0</v>
      </c>
      <c r="BI37" s="158">
        <f t="shared" si="163"/>
        <v>4601.6493504988621</v>
      </c>
      <c r="BJ37" s="158">
        <f t="shared" ref="BJ37" si="173">SUM(BE37:BI37)</f>
        <v>5841.7772139813205</v>
      </c>
      <c r="BL37" s="285">
        <f t="shared" ref="BL37" si="174">BE37*$BL$2/Thousands</f>
        <v>1.3117796955947785</v>
      </c>
      <c r="BM37" s="285">
        <f t="shared" ref="BM37" si="175">BF37*$BL$2/Thousands</f>
        <v>0</v>
      </c>
      <c r="BN37" s="285">
        <f t="shared" ref="BN37" si="176">BG37*$BL$2/Thousands</f>
        <v>0</v>
      </c>
      <c r="BO37" s="285">
        <f t="shared" ref="BO37" si="177">BH37*$BL$2/Thousands</f>
        <v>0</v>
      </c>
      <c r="BP37" s="317">
        <f t="shared" ref="BP37" si="178">BI37*$BL$2/Thousands</f>
        <v>4.8675224240832415</v>
      </c>
      <c r="BQ37" s="289">
        <f t="shared" si="10"/>
        <v>6.1793021196780202</v>
      </c>
      <c r="BR37" s="278"/>
    </row>
    <row r="38" spans="2:73" outlineLevel="1" x14ac:dyDescent="0.3">
      <c r="C38" s="1" t="s">
        <v>397</v>
      </c>
      <c r="D38" s="539"/>
      <c r="E38" s="539"/>
      <c r="F38" s="539"/>
      <c r="G38" s="538"/>
      <c r="H38" s="539"/>
      <c r="I38" s="539"/>
      <c r="J38" s="539"/>
      <c r="K38" s="539"/>
      <c r="L38" s="539"/>
      <c r="M38" s="204"/>
      <c r="N38" s="553"/>
      <c r="O38" s="553"/>
      <c r="P38" s="553"/>
      <c r="Q38" s="554"/>
      <c r="R38" s="553"/>
      <c r="S38" s="553"/>
      <c r="T38" s="553"/>
      <c r="U38" s="553"/>
      <c r="V38" s="539"/>
      <c r="W38" s="2"/>
      <c r="X38" s="549"/>
      <c r="Y38" s="549"/>
      <c r="Z38" s="549"/>
      <c r="AA38" s="550"/>
      <c r="AB38" s="549"/>
      <c r="AC38" s="549"/>
      <c r="AD38" s="549"/>
      <c r="AE38" s="549"/>
      <c r="AF38" s="539"/>
      <c r="AG38" s="2"/>
      <c r="AH38" s="159">
        <v>0</v>
      </c>
      <c r="AI38" s="159">
        <v>0</v>
      </c>
      <c r="AJ38" s="159">
        <v>0</v>
      </c>
      <c r="AK38" s="270">
        <v>0</v>
      </c>
      <c r="AL38" s="159">
        <v>0</v>
      </c>
      <c r="AM38" s="159">
        <v>0</v>
      </c>
      <c r="AN38" s="159">
        <v>0</v>
      </c>
      <c r="AO38" s="159">
        <v>0</v>
      </c>
      <c r="AP38" s="158">
        <f t="shared" si="154"/>
        <v>0</v>
      </c>
      <c r="AQ38" s="2"/>
      <c r="AR38" s="164"/>
      <c r="AS38" s="164"/>
      <c r="AT38" s="164"/>
      <c r="AU38" s="288"/>
      <c r="AV38" s="164"/>
      <c r="AW38" s="164"/>
      <c r="AX38" s="164"/>
      <c r="AY38" s="164"/>
      <c r="AZ38" s="158">
        <f t="shared" si="155"/>
        <v>0</v>
      </c>
      <c r="BB38" s="158">
        <f t="shared" si="156"/>
        <v>0</v>
      </c>
      <c r="BC38" s="158">
        <f t="shared" si="157"/>
        <v>0</v>
      </c>
      <c r="BD38" s="158">
        <f t="shared" si="158"/>
        <v>0</v>
      </c>
      <c r="BE38" s="269">
        <f t="shared" si="159"/>
        <v>0</v>
      </c>
      <c r="BF38" s="158">
        <f t="shared" si="160"/>
        <v>0</v>
      </c>
      <c r="BG38" s="158">
        <f t="shared" si="161"/>
        <v>0</v>
      </c>
      <c r="BH38" s="158">
        <f t="shared" si="162"/>
        <v>0</v>
      </c>
      <c r="BI38" s="158">
        <f t="shared" si="163"/>
        <v>0</v>
      </c>
      <c r="BJ38" s="158">
        <f t="shared" si="164"/>
        <v>0</v>
      </c>
      <c r="BL38" s="285">
        <f t="shared" si="165"/>
        <v>0</v>
      </c>
      <c r="BM38" s="285">
        <f t="shared" si="165"/>
        <v>0</v>
      </c>
      <c r="BN38" s="285">
        <f t="shared" si="165"/>
        <v>0</v>
      </c>
      <c r="BO38" s="285">
        <f t="shared" si="165"/>
        <v>0</v>
      </c>
      <c r="BP38" s="317">
        <f t="shared" si="165"/>
        <v>0</v>
      </c>
      <c r="BQ38" s="289">
        <f t="shared" si="10"/>
        <v>0</v>
      </c>
      <c r="BR38" s="278"/>
    </row>
    <row r="39" spans="2:73" x14ac:dyDescent="0.3">
      <c r="B39" s="251" t="s">
        <v>456</v>
      </c>
      <c r="D39" s="539"/>
      <c r="E39" s="539"/>
      <c r="F39" s="539"/>
      <c r="G39" s="538"/>
      <c r="H39" s="539"/>
      <c r="I39" s="539"/>
      <c r="J39" s="539"/>
      <c r="K39" s="539"/>
      <c r="L39" s="539"/>
      <c r="M39" s="204"/>
      <c r="N39" s="539"/>
      <c r="O39" s="539"/>
      <c r="P39" s="539"/>
      <c r="Q39" s="538"/>
      <c r="R39" s="539"/>
      <c r="S39" s="539"/>
      <c r="T39" s="539"/>
      <c r="U39" s="539"/>
      <c r="V39" s="539"/>
      <c r="W39" s="2"/>
      <c r="X39" s="539"/>
      <c r="Y39" s="539"/>
      <c r="Z39" s="539"/>
      <c r="AA39" s="538"/>
      <c r="AB39" s="539"/>
      <c r="AC39" s="539"/>
      <c r="AD39" s="539"/>
      <c r="AE39" s="539"/>
      <c r="AF39" s="539"/>
      <c r="AG39" s="2"/>
      <c r="AH39" s="158">
        <v>0</v>
      </c>
      <c r="AI39" s="158">
        <v>0</v>
      </c>
      <c r="AJ39" s="158">
        <v>0</v>
      </c>
      <c r="AK39" s="269">
        <v>1208.0487577549225</v>
      </c>
      <c r="AL39" s="158">
        <v>1210.9674752919007</v>
      </c>
      <c r="AM39" s="158">
        <v>1214.060904013962</v>
      </c>
      <c r="AN39" s="158">
        <v>1216.8074964745781</v>
      </c>
      <c r="AO39" s="158">
        <v>1219.3879172498862</v>
      </c>
      <c r="AP39" s="158">
        <f t="shared" si="154"/>
        <v>6069.2725507852492</v>
      </c>
      <c r="AQ39" s="2"/>
      <c r="AR39" s="158">
        <f>SUBTOTAL(9,AR40)</f>
        <v>0</v>
      </c>
      <c r="AS39" s="158">
        <f t="shared" ref="AS39" si="179">SUBTOTAL(9,AS40)</f>
        <v>0</v>
      </c>
      <c r="AT39" s="158"/>
      <c r="AU39" s="269">
        <f t="shared" ref="AU39" si="180">SUBTOTAL(9,AU40)</f>
        <v>0</v>
      </c>
      <c r="AV39" s="158">
        <f t="shared" ref="AV39" si="181">SUBTOTAL(9,AV40)</f>
        <v>0</v>
      </c>
      <c r="AW39" s="158">
        <f t="shared" ref="AW39" si="182">SUBTOTAL(9,AW40)</f>
        <v>0</v>
      </c>
      <c r="AX39" s="158">
        <f t="shared" ref="AX39" si="183">SUBTOTAL(9,AX40)</f>
        <v>0</v>
      </c>
      <c r="AY39" s="158">
        <f t="shared" ref="AY39" si="184">SUBTOTAL(9,AY40)</f>
        <v>0</v>
      </c>
      <c r="AZ39" s="158">
        <f t="shared" si="155"/>
        <v>0</v>
      </c>
      <c r="BB39" s="158">
        <f>SUBTOTAL(9,BB40)</f>
        <v>0</v>
      </c>
      <c r="BC39" s="158">
        <f t="shared" ref="BC39:BD39" si="185">SUBTOTAL(9,BC40)</f>
        <v>0</v>
      </c>
      <c r="BD39" s="158">
        <f t="shared" si="185"/>
        <v>0</v>
      </c>
      <c r="BE39" s="269">
        <f t="shared" ref="BE39" si="186">SUBTOTAL(9,BE40)</f>
        <v>1208.0487577549225</v>
      </c>
      <c r="BF39" s="158">
        <f t="shared" ref="BF39" si="187">SUBTOTAL(9,BF40)</f>
        <v>1210.9674752919007</v>
      </c>
      <c r="BG39" s="158">
        <f t="shared" ref="BG39" si="188">SUBTOTAL(9,BG40)</f>
        <v>1214.060904013962</v>
      </c>
      <c r="BH39" s="158">
        <f t="shared" ref="BH39" si="189">SUBTOTAL(9,BH40)</f>
        <v>1216.8074964745781</v>
      </c>
      <c r="BI39" s="158">
        <f t="shared" ref="BI39" si="190">SUBTOTAL(9,BI40)</f>
        <v>1219.3879172498862</v>
      </c>
      <c r="BJ39" s="158">
        <f t="shared" si="164"/>
        <v>6069.2725507852492</v>
      </c>
      <c r="BL39" s="285">
        <f t="shared" si="165"/>
        <v>1.277847130425207</v>
      </c>
      <c r="BM39" s="285">
        <f t="shared" si="165"/>
        <v>1.2809344849754329</v>
      </c>
      <c r="BN39" s="285">
        <f t="shared" si="165"/>
        <v>1.2842066451347689</v>
      </c>
      <c r="BO39" s="285">
        <f t="shared" si="165"/>
        <v>1.2871119296042206</v>
      </c>
      <c r="BP39" s="317">
        <f t="shared" si="165"/>
        <v>1.2898414413576575</v>
      </c>
      <c r="BQ39" s="289">
        <f t="shared" si="10"/>
        <v>6.4199416314972861</v>
      </c>
      <c r="BR39" s="278"/>
    </row>
    <row r="40" spans="2:73" outlineLevel="1" x14ac:dyDescent="0.3">
      <c r="C40" s="1" t="s">
        <v>307</v>
      </c>
      <c r="D40" s="539"/>
      <c r="E40" s="539"/>
      <c r="F40" s="539"/>
      <c r="G40" s="538"/>
      <c r="H40" s="539"/>
      <c r="I40" s="539"/>
      <c r="J40" s="539"/>
      <c r="K40" s="539"/>
      <c r="L40" s="539"/>
      <c r="M40" s="204"/>
      <c r="N40" s="553"/>
      <c r="O40" s="553"/>
      <c r="P40" s="553"/>
      <c r="Q40" s="554"/>
      <c r="R40" s="553"/>
      <c r="S40" s="553"/>
      <c r="T40" s="553"/>
      <c r="U40" s="553"/>
      <c r="V40" s="539"/>
      <c r="W40" s="2"/>
      <c r="X40" s="549"/>
      <c r="Y40" s="549"/>
      <c r="Z40" s="549"/>
      <c r="AA40" s="549"/>
      <c r="AB40" s="549"/>
      <c r="AC40" s="549"/>
      <c r="AD40" s="549"/>
      <c r="AE40" s="549"/>
      <c r="AF40" s="539"/>
      <c r="AG40" s="2"/>
      <c r="AH40" s="159">
        <v>0</v>
      </c>
      <c r="AI40" s="159">
        <v>0</v>
      </c>
      <c r="AJ40" s="159">
        <v>0</v>
      </c>
      <c r="AK40" s="270">
        <v>1208.0487577549225</v>
      </c>
      <c r="AL40" s="159">
        <v>1210.9674752919007</v>
      </c>
      <c r="AM40" s="159">
        <v>1214.060904013962</v>
      </c>
      <c r="AN40" s="159">
        <v>1216.8074964745781</v>
      </c>
      <c r="AO40" s="159">
        <v>1219.3879172498862</v>
      </c>
      <c r="AP40" s="158">
        <f t="shared" si="154"/>
        <v>6069.2725507852492</v>
      </c>
      <c r="AQ40" s="2"/>
      <c r="AU40" s="41"/>
      <c r="AZ40" s="158">
        <f t="shared" si="155"/>
        <v>0</v>
      </c>
      <c r="BB40" s="366">
        <f t="shared" ref="BB40:BI40" si="191">AR40+AH40</f>
        <v>0</v>
      </c>
      <c r="BC40" s="366">
        <f t="shared" si="191"/>
        <v>0</v>
      </c>
      <c r="BD40" s="366">
        <f t="shared" si="191"/>
        <v>0</v>
      </c>
      <c r="BE40" s="372">
        <f t="shared" si="191"/>
        <v>1208.0487577549225</v>
      </c>
      <c r="BF40" s="366">
        <f t="shared" si="191"/>
        <v>1210.9674752919007</v>
      </c>
      <c r="BG40" s="158">
        <f t="shared" si="191"/>
        <v>1214.060904013962</v>
      </c>
      <c r="BH40" s="158">
        <f t="shared" si="191"/>
        <v>1216.8074964745781</v>
      </c>
      <c r="BI40" s="158">
        <f t="shared" si="191"/>
        <v>1219.3879172498862</v>
      </c>
      <c r="BJ40" s="158">
        <f t="shared" ref="BJ40" si="192">SUM(BE40:BI40)</f>
        <v>6069.2725507852492</v>
      </c>
      <c r="BL40" s="278">
        <f t="shared" ref="BL40" si="193">BE40*$BL$2/Thousands</f>
        <v>1.277847130425207</v>
      </c>
      <c r="BM40" s="278">
        <f t="shared" ref="BM40" si="194">BF40*$BL$2/Thousands</f>
        <v>1.2809344849754329</v>
      </c>
      <c r="BN40" s="278">
        <f t="shared" ref="BN40" si="195">BG40*$BL$2/Thousands</f>
        <v>1.2842066451347689</v>
      </c>
      <c r="BO40" s="278">
        <f t="shared" ref="BO40" si="196">BH40*$BL$2/Thousands</f>
        <v>1.2871119296042206</v>
      </c>
      <c r="BP40" s="283">
        <f t="shared" ref="BP40" si="197">BI40*$BL$2/Thousands</f>
        <v>1.2898414413576575</v>
      </c>
      <c r="BQ40" s="289">
        <f t="shared" si="10"/>
        <v>6.4199416314972861</v>
      </c>
      <c r="BR40" s="278"/>
    </row>
    <row r="41" spans="2:73" x14ac:dyDescent="0.3">
      <c r="G41" s="38"/>
      <c r="L41" s="204"/>
      <c r="M41" s="204"/>
      <c r="N41" s="2"/>
      <c r="O41" s="2"/>
      <c r="P41" s="2"/>
      <c r="Q41" s="284"/>
      <c r="R41" s="2"/>
      <c r="S41" s="2"/>
      <c r="T41" s="2"/>
      <c r="U41" s="2"/>
      <c r="V41" s="2"/>
      <c r="W41" s="2"/>
      <c r="X41" s="160"/>
      <c r="Y41" s="160"/>
      <c r="Z41" s="160"/>
      <c r="AA41" s="160"/>
      <c r="AB41" s="160"/>
      <c r="AC41" s="160"/>
      <c r="AD41" s="160"/>
      <c r="AE41" s="160"/>
      <c r="AF41" s="2"/>
      <c r="AG41" s="2"/>
      <c r="AH41" s="2"/>
      <c r="AI41" s="2"/>
      <c r="AJ41" s="2"/>
      <c r="AK41" s="284"/>
      <c r="AL41" s="2"/>
      <c r="AM41" s="2"/>
      <c r="AN41" s="2"/>
      <c r="AO41" s="2"/>
      <c r="AP41" s="2"/>
      <c r="AQ41" s="2"/>
      <c r="BP41" s="283"/>
    </row>
    <row r="42" spans="2:73" x14ac:dyDescent="0.3">
      <c r="B42" s="2" t="s">
        <v>486</v>
      </c>
      <c r="D42" s="226">
        <f>CP_Yr_4</f>
        <v>43800</v>
      </c>
      <c r="E42" s="226">
        <f>CP_Yr_5</f>
        <v>44166</v>
      </c>
      <c r="F42" s="226">
        <f>Stub</f>
        <v>44377</v>
      </c>
      <c r="G42" s="339">
        <f>Yr_1</f>
        <v>44742</v>
      </c>
      <c r="H42" s="226">
        <f>Yr_2</f>
        <v>45107</v>
      </c>
      <c r="I42" s="226">
        <f>Yr_3</f>
        <v>45473</v>
      </c>
      <c r="J42" s="226">
        <f>Yr_4</f>
        <v>45838</v>
      </c>
      <c r="K42" s="226">
        <f>Yr_5</f>
        <v>46203</v>
      </c>
      <c r="L42" s="268" t="str">
        <f>NReg_Period</f>
        <v>2022-26</v>
      </c>
      <c r="M42" s="268"/>
      <c r="N42" s="226">
        <f>CP_Yr_4</f>
        <v>43800</v>
      </c>
      <c r="O42" s="226">
        <f>CP_Yr_5</f>
        <v>44166</v>
      </c>
      <c r="P42" s="226">
        <f>Stub</f>
        <v>44377</v>
      </c>
      <c r="Q42" s="339">
        <f>Yr_1</f>
        <v>44742</v>
      </c>
      <c r="R42" s="226">
        <f>Yr_2</f>
        <v>45107</v>
      </c>
      <c r="S42" s="226">
        <f>Yr_3</f>
        <v>45473</v>
      </c>
      <c r="T42" s="226">
        <f>Yr_4</f>
        <v>45838</v>
      </c>
      <c r="U42" s="226">
        <f>Yr_5</f>
        <v>46203</v>
      </c>
      <c r="V42" s="268" t="str">
        <f>NReg_Period</f>
        <v>2022-26</v>
      </c>
      <c r="X42" s="226">
        <f>CP_Yr_4</f>
        <v>43800</v>
      </c>
      <c r="Y42" s="226">
        <f>CP_Yr_5</f>
        <v>44166</v>
      </c>
      <c r="Z42" s="226">
        <f>Stub</f>
        <v>44377</v>
      </c>
      <c r="AA42" s="339">
        <f>Yr_1</f>
        <v>44742</v>
      </c>
      <c r="AB42" s="226">
        <f>Yr_2</f>
        <v>45107</v>
      </c>
      <c r="AC42" s="226">
        <f>Yr_3</f>
        <v>45473</v>
      </c>
      <c r="AD42" s="226">
        <f>Yr_4</f>
        <v>45838</v>
      </c>
      <c r="AE42" s="226">
        <f>Yr_5</f>
        <v>46203</v>
      </c>
      <c r="AF42" s="363" t="str">
        <f>NReg_Period</f>
        <v>2022-26</v>
      </c>
      <c r="AH42" s="226">
        <f>CP_Yr_4</f>
        <v>43800</v>
      </c>
      <c r="AI42" s="226">
        <f>CP_Yr_5</f>
        <v>44166</v>
      </c>
      <c r="AJ42" s="226">
        <f>Stub</f>
        <v>44377</v>
      </c>
      <c r="AK42" s="339">
        <f>Yr_1</f>
        <v>44742</v>
      </c>
      <c r="AL42" s="226">
        <f>Yr_2</f>
        <v>45107</v>
      </c>
      <c r="AM42" s="226">
        <f>Yr_3</f>
        <v>45473</v>
      </c>
      <c r="AN42" s="226">
        <f>Yr_4</f>
        <v>45838</v>
      </c>
      <c r="AO42" s="226">
        <f>Yr_5</f>
        <v>46203</v>
      </c>
      <c r="AP42" s="268" t="str">
        <f>NReg_Period</f>
        <v>2022-26</v>
      </c>
      <c r="AR42" s="226">
        <f>CP_Yr_4</f>
        <v>43800</v>
      </c>
      <c r="AS42" s="226">
        <f>CP_Yr_5</f>
        <v>44166</v>
      </c>
      <c r="AT42" s="226">
        <f>Stub</f>
        <v>44377</v>
      </c>
      <c r="AU42" s="339">
        <f>Yr_1</f>
        <v>44742</v>
      </c>
      <c r="AV42" s="226">
        <f>Yr_2</f>
        <v>45107</v>
      </c>
      <c r="AW42" s="226">
        <f>Yr_3</f>
        <v>45473</v>
      </c>
      <c r="AX42" s="226">
        <f>Yr_4</f>
        <v>45838</v>
      </c>
      <c r="AY42" s="226">
        <f>Yr_5</f>
        <v>46203</v>
      </c>
      <c r="AZ42" s="268" t="str">
        <f>NReg_Period</f>
        <v>2022-26</v>
      </c>
      <c r="BB42" s="226">
        <f>CP_Yr_4</f>
        <v>43800</v>
      </c>
      <c r="BC42" s="226">
        <f>CP_Yr_5</f>
        <v>44166</v>
      </c>
      <c r="BD42" s="226">
        <f>Stub</f>
        <v>44377</v>
      </c>
      <c r="BE42" s="339">
        <f>Yr_1</f>
        <v>44742</v>
      </c>
      <c r="BF42" s="226">
        <f>Yr_2</f>
        <v>45107</v>
      </c>
      <c r="BG42" s="226">
        <f>Yr_3</f>
        <v>45473</v>
      </c>
      <c r="BH42" s="226">
        <f>Yr_4</f>
        <v>45838</v>
      </c>
      <c r="BI42" s="226">
        <f>Yr_5</f>
        <v>46203</v>
      </c>
      <c r="BJ42" s="268" t="str">
        <f>NReg_Period</f>
        <v>2022-26</v>
      </c>
      <c r="BL42" s="340">
        <f>Yr_1</f>
        <v>44742</v>
      </c>
      <c r="BM42" s="226">
        <f>Yr_2</f>
        <v>45107</v>
      </c>
      <c r="BN42" s="226">
        <f>Yr_3</f>
        <v>45473</v>
      </c>
      <c r="BO42" s="226">
        <f>Yr_4</f>
        <v>45838</v>
      </c>
      <c r="BP42" s="226">
        <f>Yr_5</f>
        <v>46203</v>
      </c>
      <c r="BQ42" s="268" t="str">
        <f>NReg_Period</f>
        <v>2022-26</v>
      </c>
    </row>
    <row r="43" spans="2:73" outlineLevel="1" x14ac:dyDescent="0.3">
      <c r="C43" s="1" t="s">
        <v>44</v>
      </c>
      <c r="D43" s="539"/>
      <c r="E43" s="539"/>
      <c r="F43" s="539"/>
      <c r="G43" s="538"/>
      <c r="H43" s="539"/>
      <c r="I43" s="539"/>
      <c r="J43" s="539"/>
      <c r="K43" s="539"/>
      <c r="L43" s="539"/>
      <c r="M43" s="158"/>
      <c r="N43" s="539"/>
      <c r="O43" s="539"/>
      <c r="P43" s="539"/>
      <c r="Q43" s="538"/>
      <c r="R43" s="539"/>
      <c r="S43" s="539"/>
      <c r="T43" s="539"/>
      <c r="U43" s="539"/>
      <c r="V43" s="539"/>
      <c r="X43" s="539"/>
      <c r="Y43" s="539"/>
      <c r="Z43" s="539"/>
      <c r="AA43" s="538"/>
      <c r="AB43" s="539"/>
      <c r="AC43" s="539"/>
      <c r="AD43" s="539"/>
      <c r="AE43" s="539"/>
      <c r="AF43" s="539"/>
      <c r="AH43" s="158">
        <f t="shared" ref="AH43:AO45" si="198">SUMIFS(AH$6:AH$30,$C$6:$C$30,$C43)</f>
        <v>0</v>
      </c>
      <c r="AI43" s="158">
        <f t="shared" si="198"/>
        <v>1083.7583951178297</v>
      </c>
      <c r="AJ43" s="158">
        <f t="shared" si="198"/>
        <v>2579.6323431711921</v>
      </c>
      <c r="AK43" s="269">
        <f t="shared" si="198"/>
        <v>53719.560568979046</v>
      </c>
      <c r="AL43" s="158">
        <f t="shared" si="198"/>
        <v>62364.554029970284</v>
      </c>
      <c r="AM43" s="158">
        <f t="shared" si="198"/>
        <v>61639.674565415167</v>
      </c>
      <c r="AN43" s="158">
        <f t="shared" si="198"/>
        <v>51142.086950593482</v>
      </c>
      <c r="AO43" s="158">
        <f t="shared" si="198"/>
        <v>41607.617531829033</v>
      </c>
      <c r="AP43" s="158">
        <f>SUM(AK43:AO43)</f>
        <v>270473.49364678701</v>
      </c>
      <c r="AR43" s="158">
        <f t="shared" ref="AR43:AY45" si="199">SUMIFS(AR$6:AR$30,$C$6:$C$30,$C43)</f>
        <v>0</v>
      </c>
      <c r="AS43" s="158">
        <f t="shared" si="199"/>
        <v>89.292734733601691</v>
      </c>
      <c r="AT43" s="158">
        <f t="shared" si="199"/>
        <v>223.3386144294245</v>
      </c>
      <c r="AU43" s="269">
        <f t="shared" si="199"/>
        <v>4731.051789407079</v>
      </c>
      <c r="AV43" s="158">
        <f t="shared" si="199"/>
        <v>5809.860579432755</v>
      </c>
      <c r="AW43" s="158">
        <f t="shared" si="199"/>
        <v>6118.4595094359429</v>
      </c>
      <c r="AX43" s="158">
        <f t="shared" si="199"/>
        <v>5196.0244945341738</v>
      </c>
      <c r="AY43" s="158">
        <f t="shared" si="199"/>
        <v>4216.3815128398419</v>
      </c>
      <c r="AZ43" s="158">
        <f>SUM(AU43:AY43)</f>
        <v>26071.777885649793</v>
      </c>
      <c r="BB43" s="158">
        <f t="shared" ref="BB43:BI45" si="200">SUMIFS(BB$6:BB$30,$C$6:$C$30,$C43)</f>
        <v>0</v>
      </c>
      <c r="BC43" s="158">
        <f t="shared" si="200"/>
        <v>1173.0511298514314</v>
      </c>
      <c r="BD43" s="158">
        <f t="shared" si="200"/>
        <v>2802.9709576006167</v>
      </c>
      <c r="BE43" s="269">
        <f t="shared" si="200"/>
        <v>58450.612358386126</v>
      </c>
      <c r="BF43" s="158">
        <f t="shared" si="200"/>
        <v>68174.414609403044</v>
      </c>
      <c r="BG43" s="158">
        <f t="shared" si="200"/>
        <v>67758.134074851114</v>
      </c>
      <c r="BH43" s="158">
        <f t="shared" si="200"/>
        <v>56338.111445127652</v>
      </c>
      <c r="BI43" s="158">
        <f t="shared" si="200"/>
        <v>45823.999044668875</v>
      </c>
      <c r="BJ43" s="158">
        <f>SUM(BE43:BI43)</f>
        <v>296545.27153243677</v>
      </c>
      <c r="BL43" s="275">
        <f t="shared" ref="BL43:BP45" si="201">SUMIFS(BL$6:BL$30,$C$6:$C$30,$C43)</f>
        <v>61.827758850204006</v>
      </c>
      <c r="BM43" s="158">
        <f t="shared" si="201"/>
        <v>72.113380786835251</v>
      </c>
      <c r="BN43" s="158">
        <f t="shared" si="201"/>
        <v>71.673048488064737</v>
      </c>
      <c r="BO43" s="158">
        <f t="shared" si="201"/>
        <v>59.593202328623931</v>
      </c>
      <c r="BP43" s="158">
        <f t="shared" si="201"/>
        <v>48.471607878360871</v>
      </c>
      <c r="BQ43" s="158">
        <f>SUM(BL43:BP43)</f>
        <v>313.67899833208884</v>
      </c>
    </row>
    <row r="44" spans="2:73" outlineLevel="1" x14ac:dyDescent="0.3">
      <c r="C44" s="1" t="s">
        <v>45</v>
      </c>
      <c r="D44" s="539"/>
      <c r="E44" s="539"/>
      <c r="F44" s="539"/>
      <c r="G44" s="538"/>
      <c r="H44" s="539"/>
      <c r="I44" s="539"/>
      <c r="J44" s="539"/>
      <c r="K44" s="539"/>
      <c r="L44" s="539"/>
      <c r="M44" s="158"/>
      <c r="N44" s="539"/>
      <c r="O44" s="539"/>
      <c r="P44" s="539"/>
      <c r="Q44" s="538"/>
      <c r="R44" s="539"/>
      <c r="S44" s="539"/>
      <c r="T44" s="539"/>
      <c r="U44" s="539"/>
      <c r="V44" s="539"/>
      <c r="X44" s="539"/>
      <c r="Y44" s="539"/>
      <c r="Z44" s="539"/>
      <c r="AA44" s="538"/>
      <c r="AB44" s="539"/>
      <c r="AC44" s="539"/>
      <c r="AD44" s="539"/>
      <c r="AE44" s="539"/>
      <c r="AF44" s="539"/>
      <c r="AH44" s="158">
        <f t="shared" si="198"/>
        <v>0</v>
      </c>
      <c r="AI44" s="158">
        <f t="shared" si="198"/>
        <v>0</v>
      </c>
      <c r="AJ44" s="158">
        <f t="shared" si="198"/>
        <v>0</v>
      </c>
      <c r="AK44" s="269">
        <f t="shared" si="198"/>
        <v>203727.396552994</v>
      </c>
      <c r="AL44" s="158">
        <f t="shared" si="198"/>
        <v>200491.18151165129</v>
      </c>
      <c r="AM44" s="158">
        <f t="shared" si="198"/>
        <v>195551.57275463984</v>
      </c>
      <c r="AN44" s="158">
        <f t="shared" si="198"/>
        <v>196128.62305878484</v>
      </c>
      <c r="AO44" s="158">
        <f t="shared" si="198"/>
        <v>204588.65491594767</v>
      </c>
      <c r="AP44" s="158">
        <f>SUM(AK44:AO44)</f>
        <v>1000487.4287940176</v>
      </c>
      <c r="AR44" s="158">
        <f t="shared" si="199"/>
        <v>0</v>
      </c>
      <c r="AS44" s="158">
        <f t="shared" si="199"/>
        <v>0</v>
      </c>
      <c r="AT44" s="158">
        <f t="shared" si="199"/>
        <v>0</v>
      </c>
      <c r="AU44" s="269">
        <f t="shared" si="199"/>
        <v>18249.895395707172</v>
      </c>
      <c r="AV44" s="158">
        <f t="shared" si="199"/>
        <v>17466.702854571031</v>
      </c>
      <c r="AW44" s="158">
        <f t="shared" si="199"/>
        <v>17120.729145548878</v>
      </c>
      <c r="AX44" s="158">
        <f t="shared" si="199"/>
        <v>17780.09387276915</v>
      </c>
      <c r="AY44" s="158">
        <f t="shared" si="199"/>
        <v>19081.981595999299</v>
      </c>
      <c r="AZ44" s="158">
        <f>SUM(AU44:AY44)</f>
        <v>89699.402864595526</v>
      </c>
      <c r="BB44" s="158">
        <f t="shared" si="200"/>
        <v>0</v>
      </c>
      <c r="BC44" s="158">
        <f t="shared" si="200"/>
        <v>0</v>
      </c>
      <c r="BD44" s="158">
        <f t="shared" si="200"/>
        <v>0</v>
      </c>
      <c r="BE44" s="269">
        <f t="shared" si="200"/>
        <v>221977.2919487012</v>
      </c>
      <c r="BF44" s="158">
        <f t="shared" si="200"/>
        <v>217957.88436622234</v>
      </c>
      <c r="BG44" s="158">
        <f t="shared" si="200"/>
        <v>212672.30190018873</v>
      </c>
      <c r="BH44" s="158">
        <f t="shared" si="200"/>
        <v>213908.71693155396</v>
      </c>
      <c r="BI44" s="158">
        <f t="shared" si="200"/>
        <v>223670.63651194697</v>
      </c>
      <c r="BJ44" s="158">
        <f>SUM(BE44:BI44)</f>
        <v>1090186.8316586134</v>
      </c>
      <c r="BL44" s="275">
        <f t="shared" si="201"/>
        <v>234.8026465946262</v>
      </c>
      <c r="BM44" s="158">
        <f t="shared" si="201"/>
        <v>230.55100657404853</v>
      </c>
      <c r="BN44" s="158">
        <f t="shared" si="201"/>
        <v>224.96003489886635</v>
      </c>
      <c r="BO44" s="158">
        <f t="shared" si="201"/>
        <v>226.26788724315489</v>
      </c>
      <c r="BP44" s="158">
        <f t="shared" si="201"/>
        <v>236.59382884374835</v>
      </c>
      <c r="BQ44" s="158">
        <f>SUM(BL44:BP44)</f>
        <v>1153.1754041544443</v>
      </c>
    </row>
    <row r="45" spans="2:73" outlineLevel="1" x14ac:dyDescent="0.3">
      <c r="C45" s="1" t="s">
        <v>48</v>
      </c>
      <c r="D45" s="544"/>
      <c r="E45" s="544"/>
      <c r="F45" s="544"/>
      <c r="G45" s="543"/>
      <c r="H45" s="544"/>
      <c r="I45" s="544"/>
      <c r="J45" s="544"/>
      <c r="K45" s="544"/>
      <c r="L45" s="544"/>
      <c r="M45" s="275"/>
      <c r="N45" s="544"/>
      <c r="O45" s="544"/>
      <c r="P45" s="544"/>
      <c r="Q45" s="543"/>
      <c r="R45" s="544"/>
      <c r="S45" s="544"/>
      <c r="T45" s="544"/>
      <c r="U45" s="544"/>
      <c r="V45" s="544"/>
      <c r="X45" s="544"/>
      <c r="Y45" s="544"/>
      <c r="Z45" s="544"/>
      <c r="AA45" s="543"/>
      <c r="AB45" s="544"/>
      <c r="AC45" s="544"/>
      <c r="AD45" s="544"/>
      <c r="AE45" s="544"/>
      <c r="AF45" s="544"/>
      <c r="AH45" s="223">
        <f t="shared" si="198"/>
        <v>0</v>
      </c>
      <c r="AI45" s="223">
        <f t="shared" si="198"/>
        <v>0</v>
      </c>
      <c r="AJ45" s="223">
        <f t="shared" si="198"/>
        <v>0</v>
      </c>
      <c r="AK45" s="272">
        <f t="shared" si="198"/>
        <v>25103.686765199829</v>
      </c>
      <c r="AL45" s="223">
        <f t="shared" si="198"/>
        <v>18467.051007668484</v>
      </c>
      <c r="AM45" s="223">
        <f t="shared" si="198"/>
        <v>18313.341561173766</v>
      </c>
      <c r="AN45" s="223">
        <f t="shared" si="198"/>
        <v>19856.673003033095</v>
      </c>
      <c r="AO45" s="223">
        <f t="shared" si="198"/>
        <v>16595.889061155493</v>
      </c>
      <c r="AP45" s="223">
        <f>SUM(AK45:AO45)</f>
        <v>98336.641398230669</v>
      </c>
      <c r="AR45" s="223">
        <f t="shared" si="199"/>
        <v>0</v>
      </c>
      <c r="AS45" s="223">
        <f t="shared" si="199"/>
        <v>0</v>
      </c>
      <c r="AT45" s="223">
        <f t="shared" si="199"/>
        <v>0</v>
      </c>
      <c r="AU45" s="272">
        <f t="shared" si="199"/>
        <v>2682.8737497345733</v>
      </c>
      <c r="AV45" s="223">
        <f t="shared" si="199"/>
        <v>1951.6172363556673</v>
      </c>
      <c r="AW45" s="223">
        <f t="shared" si="199"/>
        <v>1988.9920153746248</v>
      </c>
      <c r="AX45" s="223">
        <f t="shared" si="199"/>
        <v>2252.0623030561246</v>
      </c>
      <c r="AY45" s="223">
        <f t="shared" si="199"/>
        <v>1929.8175615203072</v>
      </c>
      <c r="AZ45" s="223">
        <f>SUM(AU45:AY45)</f>
        <v>10805.362866041298</v>
      </c>
      <c r="BB45" s="223">
        <f t="shared" si="200"/>
        <v>0</v>
      </c>
      <c r="BC45" s="223">
        <f t="shared" si="200"/>
        <v>0</v>
      </c>
      <c r="BD45" s="223">
        <f t="shared" si="200"/>
        <v>0</v>
      </c>
      <c r="BE45" s="272">
        <f t="shared" si="200"/>
        <v>27786.560514934401</v>
      </c>
      <c r="BF45" s="223">
        <f t="shared" si="200"/>
        <v>20418.668244024153</v>
      </c>
      <c r="BG45" s="223">
        <f t="shared" si="200"/>
        <v>20302.333576548393</v>
      </c>
      <c r="BH45" s="223">
        <f t="shared" si="200"/>
        <v>22108.73530608922</v>
      </c>
      <c r="BI45" s="223">
        <f t="shared" si="200"/>
        <v>18525.7066226758</v>
      </c>
      <c r="BJ45" s="223">
        <f>SUM(BE45:BI45)</f>
        <v>109142.00426427198</v>
      </c>
      <c r="BL45" s="275">
        <f t="shared" si="201"/>
        <v>29.39200623357506</v>
      </c>
      <c r="BM45" s="223">
        <f t="shared" si="201"/>
        <v>21.598413520345552</v>
      </c>
      <c r="BN45" s="223">
        <f t="shared" si="201"/>
        <v>21.475357294304523</v>
      </c>
      <c r="BO45" s="223">
        <f t="shared" si="201"/>
        <v>23.386128901552155</v>
      </c>
      <c r="BP45" s="223">
        <f t="shared" si="201"/>
        <v>19.596080783097072</v>
      </c>
      <c r="BQ45" s="223">
        <f>SUM(BL45:BP45)</f>
        <v>115.44798673287437</v>
      </c>
    </row>
    <row r="46" spans="2:73" x14ac:dyDescent="0.3">
      <c r="C46" s="1" t="s">
        <v>367</v>
      </c>
      <c r="D46" s="540"/>
      <c r="E46" s="540"/>
      <c r="F46" s="540"/>
      <c r="G46" s="541"/>
      <c r="H46" s="540"/>
      <c r="I46" s="540"/>
      <c r="J46" s="540"/>
      <c r="K46" s="540"/>
      <c r="L46" s="540"/>
      <c r="M46" s="159"/>
      <c r="N46" s="540"/>
      <c r="O46" s="540"/>
      <c r="P46" s="540"/>
      <c r="Q46" s="541"/>
      <c r="R46" s="540"/>
      <c r="S46" s="540"/>
      <c r="T46" s="540"/>
      <c r="U46" s="540"/>
      <c r="V46" s="540"/>
      <c r="X46" s="540"/>
      <c r="Y46" s="540"/>
      <c r="Z46" s="540"/>
      <c r="AA46" s="541"/>
      <c r="AB46" s="540"/>
      <c r="AC46" s="540"/>
      <c r="AD46" s="540"/>
      <c r="AE46" s="540"/>
      <c r="AF46" s="540"/>
      <c r="AH46" s="159">
        <f t="shared" ref="AH46:AP46" si="202">SUM(AH43:AH45)</f>
        <v>0</v>
      </c>
      <c r="AI46" s="159">
        <f t="shared" si="202"/>
        <v>1083.7583951178297</v>
      </c>
      <c r="AJ46" s="159">
        <f t="shared" ref="AJ46" si="203">SUM(AJ43:AJ45)</f>
        <v>2579.6323431711921</v>
      </c>
      <c r="AK46" s="270">
        <f t="shared" si="202"/>
        <v>282550.64388717286</v>
      </c>
      <c r="AL46" s="159">
        <f t="shared" si="202"/>
        <v>281322.78654929006</v>
      </c>
      <c r="AM46" s="159">
        <f t="shared" si="202"/>
        <v>275504.58888122876</v>
      </c>
      <c r="AN46" s="159">
        <f t="shared" si="202"/>
        <v>267127.38301241142</v>
      </c>
      <c r="AO46" s="159">
        <f t="shared" si="202"/>
        <v>262792.16150893219</v>
      </c>
      <c r="AP46" s="159">
        <f t="shared" si="202"/>
        <v>1369297.5638390351</v>
      </c>
      <c r="AR46" s="159">
        <f t="shared" ref="AR46:AZ46" si="204">SUM(AR43:AR45)</f>
        <v>0</v>
      </c>
      <c r="AS46" s="159">
        <f t="shared" si="204"/>
        <v>89.292734733601691</v>
      </c>
      <c r="AT46" s="159">
        <f t="shared" ref="AT46" si="205">SUM(AT43:AT45)</f>
        <v>223.3386144294245</v>
      </c>
      <c r="AU46" s="270">
        <f t="shared" si="204"/>
        <v>25663.820934848824</v>
      </c>
      <c r="AV46" s="159">
        <f t="shared" si="204"/>
        <v>25228.180670359456</v>
      </c>
      <c r="AW46" s="159">
        <f t="shared" si="204"/>
        <v>25228.180670359445</v>
      </c>
      <c r="AX46" s="159">
        <f t="shared" si="204"/>
        <v>25228.180670359448</v>
      </c>
      <c r="AY46" s="159">
        <f t="shared" si="204"/>
        <v>25228.180670359448</v>
      </c>
      <c r="AZ46" s="159">
        <f t="shared" si="204"/>
        <v>126576.54361628661</v>
      </c>
      <c r="BB46" s="159">
        <f t="shared" ref="BB46:BJ46" si="206">SUM(BB43:BB45)</f>
        <v>0</v>
      </c>
      <c r="BC46" s="159">
        <f t="shared" si="206"/>
        <v>1173.0511298514314</v>
      </c>
      <c r="BD46" s="159">
        <f t="shared" ref="BD46" si="207">SUM(BD43:BD45)</f>
        <v>2802.9709576006167</v>
      </c>
      <c r="BE46" s="270">
        <f t="shared" si="206"/>
        <v>308214.46482202172</v>
      </c>
      <c r="BF46" s="159">
        <f t="shared" si="206"/>
        <v>306550.96721964952</v>
      </c>
      <c r="BG46" s="159">
        <f t="shared" si="206"/>
        <v>300732.76955158822</v>
      </c>
      <c r="BH46" s="159">
        <f t="shared" si="206"/>
        <v>292355.56368277082</v>
      </c>
      <c r="BI46" s="159">
        <f t="shared" si="206"/>
        <v>288020.34217929165</v>
      </c>
      <c r="BJ46" s="159">
        <f t="shared" si="206"/>
        <v>1495874.1074553223</v>
      </c>
      <c r="BL46" s="425">
        <f t="shared" ref="BL46:BQ46" si="208">SUM(BL43:BL45)</f>
        <v>326.02241167840526</v>
      </c>
      <c r="BM46" s="159">
        <f t="shared" si="208"/>
        <v>324.26280088122934</v>
      </c>
      <c r="BN46" s="159">
        <f t="shared" si="208"/>
        <v>318.10844068123561</v>
      </c>
      <c r="BO46" s="159">
        <f t="shared" si="208"/>
        <v>309.24721847333103</v>
      </c>
      <c r="BP46" s="159">
        <f t="shared" si="208"/>
        <v>304.66151750520629</v>
      </c>
      <c r="BQ46" s="159">
        <f t="shared" si="208"/>
        <v>1582.3023892194076</v>
      </c>
    </row>
    <row r="47" spans="2:73" x14ac:dyDescent="0.3">
      <c r="D47" s="365" t="b">
        <f>D46=SUM(Reg_Forecast!D31:D33)</f>
        <v>1</v>
      </c>
      <c r="E47" s="1" t="b">
        <f>E46=SUM(Reg_Forecast!E31:E33)</f>
        <v>1</v>
      </c>
      <c r="F47" s="1" t="b">
        <f>F46=SUM(Reg_Forecast!F31:F33)</f>
        <v>1</v>
      </c>
      <c r="G47" s="38" t="b">
        <f>G46=SUM(Reg_Forecast!G31:G33)</f>
        <v>1</v>
      </c>
      <c r="H47" s="1" t="b">
        <f>H46=SUM(Reg_Forecast!H31:H33)</f>
        <v>1</v>
      </c>
      <c r="I47" s="1" t="b">
        <f>I46=SUM(Reg_Forecast!I31:I33)</f>
        <v>1</v>
      </c>
      <c r="J47" s="1" t="b">
        <f>J46=SUM(Reg_Forecast!J31:J33)</f>
        <v>1</v>
      </c>
      <c r="K47" s="1" t="b">
        <f>K46=SUM(Reg_Forecast!K31:K33)</f>
        <v>1</v>
      </c>
      <c r="L47" s="1" t="b">
        <f>L46=SUM(Reg_Forecast!L31:L33)</f>
        <v>1</v>
      </c>
      <c r="Q47" s="38"/>
      <c r="AR47" s="159"/>
      <c r="AS47" s="159"/>
      <c r="AT47" s="159"/>
      <c r="AU47" s="159"/>
      <c r="AV47" s="159"/>
      <c r="AW47" s="159"/>
      <c r="AX47" s="159"/>
      <c r="AY47" s="159"/>
      <c r="AZ47" s="159"/>
      <c r="BB47" s="159"/>
      <c r="BC47" s="159"/>
      <c r="BD47" s="159"/>
      <c r="BE47" s="159"/>
      <c r="BF47" s="159"/>
      <c r="BG47" s="159"/>
      <c r="BH47" s="159"/>
      <c r="BI47" s="159"/>
      <c r="BJ47" s="159"/>
      <c r="BL47" s="364" t="b">
        <f>BL46=SUM(RFM_PTRM!O9:O11)</f>
        <v>1</v>
      </c>
      <c r="BM47" s="159" t="b">
        <f>BM46=SUM(RFM_PTRM!P9:P11)</f>
        <v>1</v>
      </c>
      <c r="BN47" s="159" t="b">
        <f>BN46=SUM(RFM_PTRM!Q9:Q11)</f>
        <v>1</v>
      </c>
      <c r="BO47" s="159" t="b">
        <f>BO46=SUM(RFM_PTRM!R9:R11)</f>
        <v>1</v>
      </c>
      <c r="BP47" s="159" t="b">
        <f>BP46=SUM(RFM_PTRM!S9:S11)</f>
        <v>1</v>
      </c>
    </row>
    <row r="49" spans="2:69" x14ac:dyDescent="0.3">
      <c r="B49" s="2" t="s">
        <v>502</v>
      </c>
      <c r="D49" s="539"/>
      <c r="E49" s="539"/>
      <c r="F49" s="539"/>
      <c r="G49" s="539"/>
      <c r="H49" s="539"/>
      <c r="I49" s="539"/>
      <c r="J49" s="539"/>
      <c r="K49" s="539"/>
      <c r="L49" s="539"/>
      <c r="N49" s="539"/>
      <c r="O49" s="539"/>
      <c r="P49" s="539"/>
      <c r="Q49" s="539"/>
      <c r="R49" s="539"/>
      <c r="S49" s="539"/>
      <c r="T49" s="539"/>
      <c r="U49" s="539"/>
      <c r="V49" s="539"/>
      <c r="X49" s="539"/>
      <c r="Y49" s="539"/>
      <c r="Z49" s="539"/>
      <c r="AA49" s="539"/>
      <c r="AB49" s="539"/>
      <c r="AC49" s="539"/>
      <c r="AD49" s="539"/>
      <c r="AE49" s="539"/>
      <c r="AF49" s="539"/>
      <c r="AH49" s="158">
        <f t="shared" ref="AH49:AO49" si="209">SUM(AH34:AH38)+AH9+AH26+AH31+AH40+AH32</f>
        <v>0</v>
      </c>
      <c r="AI49" s="158">
        <f t="shared" si="209"/>
        <v>0</v>
      </c>
      <c r="AJ49" s="158">
        <f t="shared" si="209"/>
        <v>3984.4985324170325</v>
      </c>
      <c r="AK49" s="158">
        <f t="shared" si="209"/>
        <v>52835.884285452572</v>
      </c>
      <c r="AL49" s="158">
        <f t="shared" si="209"/>
        <v>37574.941421924406</v>
      </c>
      <c r="AM49" s="158">
        <f t="shared" si="209"/>
        <v>41684.348742288341</v>
      </c>
      <c r="AN49" s="158">
        <f t="shared" si="209"/>
        <v>36813.561669525989</v>
      </c>
      <c r="AO49" s="158">
        <f t="shared" si="209"/>
        <v>43468.307004075148</v>
      </c>
      <c r="AP49" s="366">
        <f t="shared" ref="AP49" si="210">SUM(AK49:AO49)</f>
        <v>212377.04312326646</v>
      </c>
      <c r="AR49" s="158">
        <f t="shared" ref="AR49:AY49" si="211">SUM(AR34:AR38)+AR9+AR26+AR31+AR40+AR32</f>
        <v>0</v>
      </c>
      <c r="AS49" s="158">
        <f t="shared" si="211"/>
        <v>0</v>
      </c>
      <c r="AT49" s="158">
        <f t="shared" si="211"/>
        <v>0</v>
      </c>
      <c r="AU49" s="158">
        <f t="shared" si="211"/>
        <v>2538.1800924575759</v>
      </c>
      <c r="AV49" s="158">
        <f t="shared" si="211"/>
        <v>2495.0947915740121</v>
      </c>
      <c r="AW49" s="158">
        <f t="shared" si="211"/>
        <v>2495.0947915740117</v>
      </c>
      <c r="AX49" s="158">
        <f t="shared" si="211"/>
        <v>2495.0947915740117</v>
      </c>
      <c r="AY49" s="158">
        <f t="shared" si="211"/>
        <v>2495.0947915740112</v>
      </c>
      <c r="AZ49" s="158">
        <f t="shared" ref="AZ49" si="212">SUM(AU49:AY49)</f>
        <v>12518.559258753623</v>
      </c>
      <c r="BB49" s="158">
        <f t="shared" ref="BB49:BI49" si="213">SUM(BB34:BB38)+BB9+BB26+BB31+BB40+BB32</f>
        <v>0</v>
      </c>
      <c r="BC49" s="158">
        <f t="shared" si="213"/>
        <v>0</v>
      </c>
      <c r="BD49" s="158">
        <f t="shared" si="213"/>
        <v>3984.4985324170325</v>
      </c>
      <c r="BE49" s="158">
        <f t="shared" si="213"/>
        <v>55374.064377910145</v>
      </c>
      <c r="BF49" s="158">
        <f t="shared" si="213"/>
        <v>40070.036213498417</v>
      </c>
      <c r="BG49" s="158">
        <f t="shared" si="213"/>
        <v>44179.443533862359</v>
      </c>
      <c r="BH49" s="158">
        <f t="shared" si="213"/>
        <v>39308.656461099999</v>
      </c>
      <c r="BI49" s="158">
        <f t="shared" si="213"/>
        <v>45963.401795649159</v>
      </c>
      <c r="BJ49" s="158">
        <f t="shared" ref="BJ49" si="214">SUM(BE49:BI49)</f>
        <v>224895.60238202009</v>
      </c>
      <c r="BL49" s="366">
        <f t="shared" ref="BL49:BP49" si="215">SUM(BL34:BL38)+BL9+BL26+BL31+BL40+BL32</f>
        <v>58.573454764189414</v>
      </c>
      <c r="BM49" s="366">
        <f t="shared" si="215"/>
        <v>42.385193861389446</v>
      </c>
      <c r="BN49" s="366">
        <f t="shared" si="215"/>
        <v>46.732033604707745</v>
      </c>
      <c r="BO49" s="366">
        <f t="shared" si="215"/>
        <v>41.579823278852459</v>
      </c>
      <c r="BP49" s="366">
        <f t="shared" si="215"/>
        <v>48.619065010508891</v>
      </c>
      <c r="BQ49" s="159">
        <f>SUM(BL49:BP49)</f>
        <v>237.88957051964798</v>
      </c>
    </row>
    <row r="50" spans="2:69" x14ac:dyDescent="0.3">
      <c r="D50" s="1" t="b">
        <f>D49=Reg_Forecast!D34</f>
        <v>1</v>
      </c>
      <c r="E50" s="1" t="b">
        <f>E49=Reg_Forecast!E34</f>
        <v>1</v>
      </c>
      <c r="F50" s="1" t="b">
        <f>F49=Reg_Forecast!F34</f>
        <v>1</v>
      </c>
      <c r="G50" s="1" t="b">
        <f>G49=Reg_Forecast!G34</f>
        <v>1</v>
      </c>
      <c r="H50" s="1" t="b">
        <f>H49=Reg_Forecast!H34</f>
        <v>1</v>
      </c>
      <c r="I50" s="1" t="b">
        <f>I49=Reg_Forecast!I34</f>
        <v>1</v>
      </c>
      <c r="J50" s="1" t="b">
        <f>J49=Reg_Forecast!J34</f>
        <v>1</v>
      </c>
      <c r="K50" s="1" t="b">
        <f>K49=Reg_Forecast!K34</f>
        <v>1</v>
      </c>
      <c r="L50" s="1" t="b">
        <f>L49=Reg_Forecast!L34</f>
        <v>1</v>
      </c>
      <c r="BE50" s="39"/>
      <c r="BF50" s="39"/>
      <c r="BG50" s="39"/>
      <c r="BH50" s="39"/>
      <c r="BI50" s="39"/>
      <c r="BL50" s="39"/>
      <c r="BM50" s="39"/>
      <c r="BN50" s="39"/>
      <c r="BO50" s="39"/>
      <c r="BP50" s="39"/>
    </row>
    <row r="51" spans="2:69" x14ac:dyDescent="0.3">
      <c r="B51" s="2" t="s">
        <v>507</v>
      </c>
      <c r="D51" s="540"/>
      <c r="E51" s="540"/>
      <c r="F51" s="540"/>
      <c r="G51" s="540"/>
      <c r="H51" s="540"/>
      <c r="I51" s="540"/>
      <c r="J51" s="540"/>
      <c r="K51" s="540"/>
      <c r="L51" s="540"/>
      <c r="N51" s="540"/>
      <c r="O51" s="540"/>
      <c r="P51" s="540"/>
      <c r="Q51" s="540"/>
      <c r="R51" s="540"/>
      <c r="S51" s="540"/>
      <c r="T51" s="540"/>
      <c r="U51" s="540"/>
      <c r="V51" s="540"/>
      <c r="X51" s="540"/>
      <c r="Y51" s="540"/>
      <c r="Z51" s="540"/>
      <c r="AA51" s="540"/>
      <c r="AB51" s="540"/>
      <c r="AC51" s="540"/>
      <c r="AD51" s="540"/>
      <c r="AE51" s="540"/>
      <c r="AF51" s="540"/>
      <c r="AH51" s="159">
        <f t="shared" ref="AH51:AP51" si="216">AH46+AH49</f>
        <v>0</v>
      </c>
      <c r="AI51" s="159">
        <f t="shared" si="216"/>
        <v>1083.7583951178297</v>
      </c>
      <c r="AJ51" s="159">
        <f t="shared" ref="AJ51" si="217">AJ46+AJ49</f>
        <v>6564.1308755882246</v>
      </c>
      <c r="AK51" s="159">
        <f t="shared" si="216"/>
        <v>335386.52817262546</v>
      </c>
      <c r="AL51" s="159">
        <f t="shared" si="216"/>
        <v>318897.72797121445</v>
      </c>
      <c r="AM51" s="159">
        <f t="shared" si="216"/>
        <v>317188.93762351712</v>
      </c>
      <c r="AN51" s="159">
        <f t="shared" si="216"/>
        <v>303940.9446819374</v>
      </c>
      <c r="AO51" s="159">
        <f t="shared" si="216"/>
        <v>306260.46851300733</v>
      </c>
      <c r="AP51" s="364">
        <f t="shared" si="216"/>
        <v>1581674.6069623015</v>
      </c>
      <c r="AR51" s="159">
        <f t="shared" ref="AR51:AS51" si="218">AR46+AR49</f>
        <v>0</v>
      </c>
      <c r="AS51" s="159">
        <f t="shared" si="218"/>
        <v>89.292734733601691</v>
      </c>
      <c r="AT51" s="159">
        <f t="shared" ref="AT51" si="219">AT46+AT49</f>
        <v>223.3386144294245</v>
      </c>
      <c r="AU51" s="159">
        <f>AU46+AU49</f>
        <v>28202.0010273064</v>
      </c>
      <c r="AV51" s="159">
        <f t="shared" ref="AV51:AZ51" si="220">AV46+AV49</f>
        <v>27723.275461933466</v>
      </c>
      <c r="AW51" s="159">
        <f t="shared" si="220"/>
        <v>27723.275461933456</v>
      </c>
      <c r="AX51" s="159">
        <f t="shared" si="220"/>
        <v>27723.275461933459</v>
      </c>
      <c r="AY51" s="159">
        <f t="shared" si="220"/>
        <v>27723.275461933459</v>
      </c>
      <c r="AZ51" s="159">
        <f t="shared" si="220"/>
        <v>139095.10287504023</v>
      </c>
      <c r="BB51" s="159">
        <f t="shared" ref="BB51:BJ51" si="221">BB46+BB49</f>
        <v>0</v>
      </c>
      <c r="BC51" s="159">
        <f t="shared" si="221"/>
        <v>1173.0511298514314</v>
      </c>
      <c r="BD51" s="159">
        <f t="shared" ref="BD51" si="222">BD46+BD49</f>
        <v>6787.4694900176492</v>
      </c>
      <c r="BE51" s="159">
        <f t="shared" si="221"/>
        <v>363588.52919993189</v>
      </c>
      <c r="BF51" s="159">
        <f t="shared" si="221"/>
        <v>346621.00343314791</v>
      </c>
      <c r="BG51" s="159">
        <f t="shared" si="221"/>
        <v>344912.21308545058</v>
      </c>
      <c r="BH51" s="159">
        <f t="shared" si="221"/>
        <v>331664.2201438708</v>
      </c>
      <c r="BI51" s="159">
        <f t="shared" si="221"/>
        <v>333983.74397494079</v>
      </c>
      <c r="BJ51" s="364">
        <f t="shared" si="221"/>
        <v>1720769.7098373424</v>
      </c>
      <c r="BL51" s="285">
        <f t="shared" ref="BL51:BP51" si="223">BL46+BL49</f>
        <v>384.59586644259468</v>
      </c>
      <c r="BM51" s="285">
        <f t="shared" si="223"/>
        <v>366.64799474261878</v>
      </c>
      <c r="BN51" s="285">
        <f t="shared" si="223"/>
        <v>364.84047428594334</v>
      </c>
      <c r="BO51" s="285">
        <f t="shared" si="223"/>
        <v>350.8270417521835</v>
      </c>
      <c r="BP51" s="285">
        <f t="shared" si="223"/>
        <v>353.2805825157152</v>
      </c>
      <c r="BQ51" s="370">
        <f>SUM(BL51:BP51)</f>
        <v>1820.1919597390556</v>
      </c>
    </row>
    <row r="52" spans="2:69" x14ac:dyDescent="0.3">
      <c r="AU52" s="1" t="b">
        <f>AU51=AusNet_Overheads!K17</f>
        <v>1</v>
      </c>
      <c r="AV52" s="1" t="b">
        <f>AV51=AusNet_Overheads!L17</f>
        <v>1</v>
      </c>
      <c r="AW52" s="1" t="b">
        <f>AW51=AusNet_Overheads!M17</f>
        <v>1</v>
      </c>
      <c r="AX52" s="1" t="b">
        <f>AX51=AusNet_Overheads!N17</f>
        <v>1</v>
      </c>
      <c r="AY52" s="1" t="b">
        <f>AY51=AusNet_Overheads!O17</f>
        <v>1</v>
      </c>
      <c r="BQ52" s="367" t="b">
        <f>BQ51=RFM_PTRM!T17</f>
        <v>1</v>
      </c>
    </row>
    <row r="53" spans="2:69" x14ac:dyDescent="0.3">
      <c r="AH53" s="159"/>
      <c r="AI53" s="159"/>
      <c r="AJ53" s="159"/>
      <c r="AP53" s="159"/>
      <c r="BB53" s="159"/>
      <c r="BC53" s="159"/>
      <c r="BD53" s="159"/>
    </row>
    <row r="54" spans="2:69" x14ac:dyDescent="0.3">
      <c r="AI54" s="159"/>
      <c r="AJ54" s="159"/>
      <c r="AP54" s="159"/>
    </row>
    <row r="55" spans="2:69" x14ac:dyDescent="0.3">
      <c r="AI55" s="278"/>
      <c r="AJ55" s="278"/>
      <c r="AP55" s="159"/>
    </row>
    <row r="56" spans="2:69" x14ac:dyDescent="0.3">
      <c r="AP56" s="159"/>
    </row>
  </sheetData>
  <mergeCells count="2">
    <mergeCell ref="BL3:BQ3"/>
    <mergeCell ref="H1:I1"/>
  </mergeCells>
  <hyperlinks>
    <hyperlink ref="B2" location="Contents!A1" display="Table of Contents" xr:uid="{00000000-0004-0000-1A00-000000000000}"/>
  </hyperlinks>
  <pageMargins left="0.7" right="0.7" top="0.75" bottom="0.75" header="0.3" footer="0.3"/>
  <ignoredErrors>
    <ignoredError sqref="AZ17 BJ17 AP17" formula="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1:AH51"/>
  <sheetViews>
    <sheetView zoomScale="70" zoomScaleNormal="70" workbookViewId="0">
      <pane xSplit="3" ySplit="4" topLeftCell="D5" activePane="bottomRight" state="frozen"/>
      <selection pane="topRight" activeCell="D1" sqref="D1"/>
      <selection pane="bottomLeft" activeCell="A5" sqref="A5"/>
      <selection pane="bottomRight"/>
    </sheetView>
  </sheetViews>
  <sheetFormatPr defaultColWidth="9.109375" defaultRowHeight="14.4" x14ac:dyDescent="0.3"/>
  <cols>
    <col min="1" max="1" width="3.5546875" style="1" customWidth="1"/>
    <col min="2" max="2" width="3.109375" style="1" customWidth="1"/>
    <col min="3" max="3" width="42.5546875" style="1" customWidth="1"/>
    <col min="4" max="4" width="9.6640625" style="1" hidden="1" customWidth="1"/>
    <col min="5" max="5" width="9.5546875" style="1" hidden="1" customWidth="1"/>
    <col min="6" max="6" width="9.5546875" style="1" customWidth="1"/>
    <col min="7" max="7" width="8.88671875" style="1" customWidth="1"/>
    <col min="8" max="8" width="9.5546875" style="1" bestFit="1" customWidth="1"/>
    <col min="9" max="9" width="9" style="1" customWidth="1"/>
    <col min="10" max="11" width="9" style="1" bestFit="1" customWidth="1"/>
    <col min="12" max="12" width="9.5546875" style="1" bestFit="1" customWidth="1"/>
    <col min="13" max="13" width="3.6640625" style="1" customWidth="1"/>
    <col min="14" max="15" width="0" style="1" hidden="1" customWidth="1"/>
    <col min="16" max="20" width="9.109375" style="1"/>
    <col min="21" max="21" width="11" style="1" customWidth="1"/>
    <col min="22" max="22" width="9.6640625" style="1" customWidth="1"/>
    <col min="23" max="23" width="5.44140625" style="1" customWidth="1"/>
    <col min="24" max="25" width="8.88671875" style="1" hidden="1" customWidth="1"/>
    <col min="26" max="26" width="8.88671875" style="1" customWidth="1"/>
    <col min="27" max="31" width="9.5546875" style="1" customWidth="1"/>
    <col min="32" max="32" width="10.88671875" style="1" customWidth="1"/>
    <col min="33" max="16384" width="9.109375" style="1"/>
  </cols>
  <sheetData>
    <row r="1" spans="2:34" ht="18" x14ac:dyDescent="0.35">
      <c r="B1" s="10" t="s">
        <v>492</v>
      </c>
      <c r="H1" s="596" t="s">
        <v>749</v>
      </c>
      <c r="I1" s="596"/>
    </row>
    <row r="2" spans="2:34" x14ac:dyDescent="0.3">
      <c r="B2" s="25" t="s">
        <v>6</v>
      </c>
    </row>
    <row r="3" spans="2:34" x14ac:dyDescent="0.3">
      <c r="B3" s="2" t="s">
        <v>608</v>
      </c>
      <c r="D3" s="601" t="str">
        <f>Lookups!$C$20</f>
        <v>Environment, safety &amp; legal</v>
      </c>
      <c r="E3" s="601"/>
      <c r="F3" s="601"/>
      <c r="G3" s="601"/>
      <c r="H3" s="601"/>
      <c r="I3" s="601"/>
      <c r="J3" s="601"/>
      <c r="K3" s="601"/>
      <c r="L3" s="601"/>
      <c r="N3" s="602" t="str">
        <f>Lookups!$C$20</f>
        <v>Environment, safety &amp; legal</v>
      </c>
      <c r="O3" s="602"/>
      <c r="P3" s="602"/>
      <c r="Q3" s="602"/>
      <c r="R3" s="602"/>
      <c r="S3" s="602"/>
      <c r="T3" s="602"/>
      <c r="U3" s="602"/>
      <c r="V3" s="602"/>
      <c r="X3" s="599" t="s">
        <v>496</v>
      </c>
      <c r="Y3" s="599"/>
      <c r="Z3" s="599"/>
      <c r="AA3" s="599"/>
      <c r="AB3" s="599"/>
      <c r="AC3" s="599"/>
      <c r="AD3" s="599"/>
      <c r="AE3" s="599"/>
      <c r="AF3" s="599"/>
    </row>
    <row r="4" spans="2:34" x14ac:dyDescent="0.3">
      <c r="B4" s="1" t="s">
        <v>614</v>
      </c>
      <c r="D4" s="600" t="str">
        <f>Lookups!I5</f>
        <v>Replacement</v>
      </c>
      <c r="E4" s="600"/>
      <c r="F4" s="600"/>
      <c r="G4" s="600"/>
      <c r="H4" s="600"/>
      <c r="I4" s="600"/>
      <c r="J4" s="600"/>
      <c r="K4" s="600"/>
      <c r="L4" s="600"/>
      <c r="N4" s="603" t="str">
        <f>Lookups!I7</f>
        <v>Augmentation</v>
      </c>
      <c r="O4" s="603"/>
      <c r="P4" s="603"/>
      <c r="Q4" s="603"/>
      <c r="R4" s="603"/>
      <c r="S4" s="603"/>
      <c r="T4" s="603"/>
      <c r="U4" s="603"/>
      <c r="V4" s="603"/>
      <c r="X4" s="441"/>
      <c r="Y4" s="441"/>
      <c r="Z4" s="441"/>
      <c r="AA4" s="441"/>
      <c r="AB4" s="441"/>
      <c r="AC4" s="441"/>
      <c r="AD4" s="441"/>
      <c r="AE4" s="441"/>
      <c r="AF4" s="441"/>
    </row>
    <row r="5" spans="2:34" x14ac:dyDescent="0.3">
      <c r="B5" s="2" t="s">
        <v>454</v>
      </c>
      <c r="D5" s="2"/>
      <c r="L5" s="301" t="s">
        <v>137</v>
      </c>
      <c r="N5" s="2"/>
      <c r="V5" s="301" t="s">
        <v>137</v>
      </c>
      <c r="X5" s="2"/>
      <c r="AF5" s="301" t="s">
        <v>137</v>
      </c>
      <c r="AH5" s="2"/>
    </row>
    <row r="6" spans="2:34" x14ac:dyDescent="0.3">
      <c r="B6" s="251" t="s">
        <v>452</v>
      </c>
      <c r="D6" s="226">
        <f>CP_Yr_4</f>
        <v>43800</v>
      </c>
      <c r="E6" s="226">
        <f>CP_Yr_5</f>
        <v>44166</v>
      </c>
      <c r="F6" s="226">
        <f>Stub</f>
        <v>44377</v>
      </c>
      <c r="G6" s="339">
        <f>Yr_1</f>
        <v>44742</v>
      </c>
      <c r="H6" s="226">
        <f>Yr_2</f>
        <v>45107</v>
      </c>
      <c r="I6" s="226">
        <f>Yr_3</f>
        <v>45473</v>
      </c>
      <c r="J6" s="226">
        <f>Yr_4</f>
        <v>45838</v>
      </c>
      <c r="K6" s="226">
        <f>Yr_5</f>
        <v>46203</v>
      </c>
      <c r="L6" s="301" t="str">
        <f>NReg_Period</f>
        <v>2022-26</v>
      </c>
      <c r="N6" s="226">
        <f>CP_Yr_4</f>
        <v>43800</v>
      </c>
      <c r="O6" s="226">
        <f>CP_Yr_5</f>
        <v>44166</v>
      </c>
      <c r="P6" s="226">
        <f>Stub</f>
        <v>44377</v>
      </c>
      <c r="Q6" s="339">
        <f>Yr_1</f>
        <v>44742</v>
      </c>
      <c r="R6" s="226">
        <f>Yr_2</f>
        <v>45107</v>
      </c>
      <c r="S6" s="226">
        <f>Yr_3</f>
        <v>45473</v>
      </c>
      <c r="T6" s="226">
        <f>Yr_4</f>
        <v>45838</v>
      </c>
      <c r="U6" s="226">
        <f>Yr_5</f>
        <v>46203</v>
      </c>
      <c r="V6" s="301" t="str">
        <f>NReg_Period</f>
        <v>2022-26</v>
      </c>
      <c r="X6" s="226">
        <f>CP_Yr_4</f>
        <v>43800</v>
      </c>
      <c r="Y6" s="226">
        <f>CP_Yr_5</f>
        <v>44166</v>
      </c>
      <c r="Z6" s="226">
        <f>Stub</f>
        <v>44377</v>
      </c>
      <c r="AA6" s="339">
        <f>Yr_1</f>
        <v>44742</v>
      </c>
      <c r="AB6" s="226">
        <f>Yr_2</f>
        <v>45107</v>
      </c>
      <c r="AC6" s="226">
        <f>Yr_3</f>
        <v>45473</v>
      </c>
      <c r="AD6" s="226">
        <f>Yr_4</f>
        <v>45838</v>
      </c>
      <c r="AE6" s="226">
        <f>Yr_5</f>
        <v>46203</v>
      </c>
      <c r="AF6" s="301" t="str">
        <f>NReg_Period</f>
        <v>2022-26</v>
      </c>
    </row>
    <row r="7" spans="2:34" x14ac:dyDescent="0.3">
      <c r="C7" s="1" t="s">
        <v>44</v>
      </c>
      <c r="D7" s="219">
        <f>SUMIFS(Augmentation!CQ$6:CQ$36,Augmentation!$E$6:$E$36,$C7,Augmentation!$F$6:$F$36,$D$3,Augmentation!$G$6:$G$36,$D$4)</f>
        <v>0</v>
      </c>
      <c r="E7" s="219">
        <f>SUMIFS(Augmentation!CR$6:CR$36,Augmentation!$E$6:$E$36,$C7,Augmentation!$F$6:$F$36,$D$3,Augmentation!$G$6:$G$36,$D$4)</f>
        <v>0</v>
      </c>
      <c r="F7" s="219">
        <v>0</v>
      </c>
      <c r="G7" s="277">
        <v>0</v>
      </c>
      <c r="H7" s="219">
        <v>0</v>
      </c>
      <c r="I7" s="219">
        <v>0</v>
      </c>
      <c r="J7" s="219">
        <v>0</v>
      </c>
      <c r="K7" s="219">
        <v>0</v>
      </c>
      <c r="L7" s="159">
        <f>SUM(G7:K7)</f>
        <v>0</v>
      </c>
      <c r="N7" s="158">
        <f>SUMIFS(Augmentation!CQ$6:CQ$36,Augmentation!$E$6:$E$36,$C7,Augmentation!$F$6:$F$36,$N$3,Augmentation!$G$6:$G$36,$N$4)</f>
        <v>0</v>
      </c>
      <c r="O7" s="158">
        <f>SUMIFS(Augmentation!CR$6:CR$36,Augmentation!$E$6:$E$36,$C7,Augmentation!$F$6:$F$36,$N$3,Augmentation!$G$6:$G$36,$N$4)</f>
        <v>0</v>
      </c>
      <c r="P7" s="158">
        <v>0</v>
      </c>
      <c r="Q7" s="269">
        <v>0</v>
      </c>
      <c r="R7" s="158">
        <v>8557.5153280810355</v>
      </c>
      <c r="S7" s="158">
        <v>15239.107796558021</v>
      </c>
      <c r="T7" s="158">
        <v>21988.416869778088</v>
      </c>
      <c r="U7" s="158">
        <v>24016.60113797681</v>
      </c>
      <c r="V7" s="159">
        <f>SUM(Q7:U7)</f>
        <v>69801.641132393954</v>
      </c>
      <c r="X7" s="158">
        <f>Capex_by_Driver!D6-D7-N7</f>
        <v>0</v>
      </c>
      <c r="Y7" s="158">
        <f>Capex_by_Driver!E6-E7-O7</f>
        <v>0</v>
      </c>
      <c r="Z7" s="539"/>
      <c r="AA7" s="538"/>
      <c r="AB7" s="539"/>
      <c r="AC7" s="539"/>
      <c r="AD7" s="539"/>
      <c r="AE7" s="539"/>
      <c r="AF7" s="539"/>
    </row>
    <row r="8" spans="2:34" x14ac:dyDescent="0.3">
      <c r="C8" s="1" t="s">
        <v>45</v>
      </c>
      <c r="D8" s="219">
        <f>SUMIFS(Augmentation!CQ$6:CQ$36,Augmentation!$E$6:$E$36,$C8,Augmentation!$F$6:$F$36,$D$3,Augmentation!$G$6:$G$36,$D$4)</f>
        <v>0</v>
      </c>
      <c r="E8" s="219">
        <f>SUMIFS(Augmentation!CR$6:CR$36,Augmentation!$E$6:$E$36,$C8,Augmentation!$F$6:$F$36,$D$3,Augmentation!$G$6:$G$36,$D$4)</f>
        <v>0</v>
      </c>
      <c r="F8" s="219">
        <v>0</v>
      </c>
      <c r="G8" s="277">
        <v>0</v>
      </c>
      <c r="H8" s="219">
        <v>0</v>
      </c>
      <c r="I8" s="219">
        <v>0</v>
      </c>
      <c r="J8" s="219">
        <v>0</v>
      </c>
      <c r="K8" s="219">
        <v>0</v>
      </c>
      <c r="L8" s="159">
        <f t="shared" ref="L8:L30" si="0">SUM(G8:K8)</f>
        <v>0</v>
      </c>
      <c r="N8" s="158">
        <f>SUMIFS(Augmentation!CQ$6:CQ$36,Augmentation!$E$6:$E$36,$C8,Augmentation!$F$6:$F$36,$N$3,Augmentation!$G$6:$G$36,$N$4)</f>
        <v>0</v>
      </c>
      <c r="O8" s="158">
        <f>SUMIFS(Augmentation!CR$6:CR$36,Augmentation!$E$6:$E$36,$C8,Augmentation!$F$6:$F$36,$N$3,Augmentation!$G$6:$G$36,$N$4)</f>
        <v>0</v>
      </c>
      <c r="P8" s="158">
        <v>0</v>
      </c>
      <c r="Q8" s="269">
        <v>0</v>
      </c>
      <c r="R8" s="158">
        <v>0</v>
      </c>
      <c r="S8" s="158">
        <v>0</v>
      </c>
      <c r="T8" s="158">
        <v>0</v>
      </c>
      <c r="U8" s="158">
        <v>0</v>
      </c>
      <c r="V8" s="159">
        <f t="shared" ref="V8:V30" si="1">SUM(Q8:U8)</f>
        <v>0</v>
      </c>
      <c r="X8" s="158">
        <f>Capex_by_Driver!D7-D8-N8</f>
        <v>0</v>
      </c>
      <c r="Y8" s="158">
        <f>Capex_by_Driver!E7-E8-O8</f>
        <v>0</v>
      </c>
      <c r="Z8" s="539"/>
      <c r="AA8" s="538"/>
      <c r="AB8" s="539"/>
      <c r="AC8" s="539"/>
      <c r="AD8" s="539"/>
      <c r="AE8" s="539"/>
      <c r="AF8" s="539"/>
    </row>
    <row r="9" spans="2:34" ht="15" customHeight="1" x14ac:dyDescent="0.3">
      <c r="C9" s="1" t="s">
        <v>48</v>
      </c>
      <c r="D9" s="219">
        <f>SUMIFS(Augmentation!CQ$6:CQ$36,Augmentation!$E$6:$E$36,$C9,Augmentation!$F$6:$F$36,$D$3,Augmentation!$G$6:$G$36,$D$4)</f>
        <v>0</v>
      </c>
      <c r="E9" s="219">
        <f>SUMIFS(Augmentation!CR$6:CR$36,Augmentation!$E$6:$E$36,$C9,Augmentation!$F$6:$F$36,$D$3,Augmentation!$G$6:$G$36,$D$4)</f>
        <v>0</v>
      </c>
      <c r="F9" s="219">
        <v>0</v>
      </c>
      <c r="G9" s="277">
        <v>0</v>
      </c>
      <c r="H9" s="219">
        <v>0</v>
      </c>
      <c r="I9" s="219">
        <v>0</v>
      </c>
      <c r="J9" s="219">
        <v>0</v>
      </c>
      <c r="K9" s="219">
        <v>0</v>
      </c>
      <c r="L9" s="159">
        <f t="shared" si="0"/>
        <v>0</v>
      </c>
      <c r="N9" s="158">
        <f>SUMIFS(Augmentation!CQ$6:CQ$36,Augmentation!$E$6:$E$36,$C9,Augmentation!$F$6:$F$36,$N$3,Augmentation!$G$6:$G$36,$N$4)</f>
        <v>0</v>
      </c>
      <c r="O9" s="158">
        <f>SUMIFS(Augmentation!CR$6:CR$36,Augmentation!$E$6:$E$36,$C9,Augmentation!$F$6:$F$36,$N$3,Augmentation!$G$6:$G$36,$N$4)</f>
        <v>0</v>
      </c>
      <c r="P9" s="158">
        <v>0</v>
      </c>
      <c r="Q9" s="269">
        <v>0</v>
      </c>
      <c r="R9" s="158">
        <v>2459.7690554802957</v>
      </c>
      <c r="S9" s="158">
        <v>4335.913204826631</v>
      </c>
      <c r="T9" s="158">
        <v>6231.0274820101813</v>
      </c>
      <c r="U9" s="158">
        <v>6833.3329876915859</v>
      </c>
      <c r="V9" s="159">
        <f t="shared" si="1"/>
        <v>19860.042730008692</v>
      </c>
      <c r="X9" s="158">
        <f>Capex_by_Driver!D8-D9-N9</f>
        <v>0</v>
      </c>
      <c r="Y9" s="158">
        <f>Capex_by_Driver!E8-E9-O9</f>
        <v>0</v>
      </c>
      <c r="Z9" s="539"/>
      <c r="AA9" s="538"/>
      <c r="AB9" s="539"/>
      <c r="AC9" s="539"/>
      <c r="AD9" s="539"/>
      <c r="AE9" s="539"/>
      <c r="AF9" s="539"/>
    </row>
    <row r="10" spans="2:34" ht="15" customHeight="1" x14ac:dyDescent="0.3">
      <c r="C10" s="1" t="s">
        <v>397</v>
      </c>
      <c r="D10" s="219">
        <f>SUMIFS(Augmentation!CQ$6:CQ$36,Augmentation!$E$6:$E$36,$C10,Augmentation!$F$6:$F$36,$D$3,Augmentation!$G$6:$G$36,$D$4)</f>
        <v>0</v>
      </c>
      <c r="E10" s="219">
        <f>SUMIFS(Augmentation!CR$6:CR$36,Augmentation!$E$6:$E$36,$C10,Augmentation!$F$6:$F$36,$D$3,Augmentation!$G$6:$G$36,$D$4)</f>
        <v>0</v>
      </c>
      <c r="F10" s="219">
        <v>0</v>
      </c>
      <c r="G10" s="277">
        <v>0</v>
      </c>
      <c r="H10" s="219">
        <v>0</v>
      </c>
      <c r="I10" s="219">
        <v>0</v>
      </c>
      <c r="J10" s="219">
        <v>0</v>
      </c>
      <c r="K10" s="219">
        <v>0</v>
      </c>
      <c r="L10" s="159">
        <f t="shared" si="0"/>
        <v>0</v>
      </c>
      <c r="N10" s="158">
        <f>SUMIFS(Augmentation!CQ$6:CQ$36,Augmentation!$E$6:$E$36,$C10,Augmentation!$F$6:$F$36,$N$3,Augmentation!$G$6:$G$36,"Non-network")</f>
        <v>0</v>
      </c>
      <c r="O10" s="158">
        <f>SUMIFS(Augmentation!CR$6:CR$36,Augmentation!$E$6:$E$36,$C10,Augmentation!$F$6:$F$36,$N$3,Augmentation!$G$6:$G$36,"Non-network")</f>
        <v>0</v>
      </c>
      <c r="P10" s="158">
        <v>0</v>
      </c>
      <c r="Q10" s="269">
        <v>0</v>
      </c>
      <c r="R10" s="158">
        <v>332.7703982087433</v>
      </c>
      <c r="S10" s="158">
        <v>602.76485238508349</v>
      </c>
      <c r="T10" s="158">
        <v>875.50577424282051</v>
      </c>
      <c r="U10" s="158">
        <v>949.9482012322087</v>
      </c>
      <c r="V10" s="159">
        <f t="shared" si="1"/>
        <v>2760.9892260688557</v>
      </c>
      <c r="X10" s="158">
        <f>Capex_by_Driver!D9-D10-N10</f>
        <v>0</v>
      </c>
      <c r="Y10" s="158">
        <f>Capex_by_Driver!E9-E10-O10</f>
        <v>0</v>
      </c>
      <c r="Z10" s="539"/>
      <c r="AA10" s="538"/>
      <c r="AB10" s="539"/>
      <c r="AC10" s="539"/>
      <c r="AD10" s="539"/>
      <c r="AE10" s="539"/>
      <c r="AF10" s="539"/>
    </row>
    <row r="11" spans="2:34" ht="15" customHeight="1" x14ac:dyDescent="0.3">
      <c r="B11" s="251" t="s">
        <v>495</v>
      </c>
      <c r="D11" s="219"/>
      <c r="E11" s="219"/>
      <c r="F11" s="219"/>
      <c r="G11" s="277"/>
      <c r="H11" s="219"/>
      <c r="I11" s="219"/>
      <c r="J11" s="219"/>
      <c r="K11" s="219"/>
      <c r="L11" s="159">
        <f t="shared" si="0"/>
        <v>0</v>
      </c>
      <c r="N11" s="219"/>
      <c r="O11" s="219"/>
      <c r="P11" s="219"/>
      <c r="Q11" s="277"/>
      <c r="R11" s="219"/>
      <c r="S11" s="219"/>
      <c r="T11" s="219"/>
      <c r="U11" s="219"/>
      <c r="V11" s="159">
        <f t="shared" si="1"/>
        <v>0</v>
      </c>
      <c r="X11" s="158"/>
      <c r="Y11" s="158"/>
      <c r="Z11" s="539"/>
      <c r="AA11" s="538"/>
      <c r="AB11" s="539"/>
      <c r="AC11" s="539"/>
      <c r="AD11" s="539"/>
      <c r="AE11" s="539"/>
      <c r="AF11" s="539"/>
    </row>
    <row r="12" spans="2:34" ht="15" customHeight="1" x14ac:dyDescent="0.3">
      <c r="C12" s="1" t="s">
        <v>44</v>
      </c>
      <c r="D12" s="219"/>
      <c r="E12" s="219"/>
      <c r="F12" s="219"/>
      <c r="G12" s="277"/>
      <c r="H12" s="219"/>
      <c r="I12" s="219"/>
      <c r="J12" s="219"/>
      <c r="K12" s="219"/>
      <c r="L12" s="159">
        <f t="shared" si="0"/>
        <v>0</v>
      </c>
      <c r="N12" s="219"/>
      <c r="O12" s="219"/>
      <c r="P12" s="219"/>
      <c r="Q12" s="277"/>
      <c r="R12" s="219"/>
      <c r="S12" s="219"/>
      <c r="T12" s="219"/>
      <c r="U12" s="219"/>
      <c r="V12" s="159">
        <f t="shared" si="1"/>
        <v>0</v>
      </c>
      <c r="X12" s="158">
        <f>Capex_by_Driver!D11-D12-N12</f>
        <v>0</v>
      </c>
      <c r="Y12" s="158">
        <f>Capex_by_Driver!E11-E12-O12</f>
        <v>0</v>
      </c>
      <c r="Z12" s="539"/>
      <c r="AA12" s="538"/>
      <c r="AB12" s="539"/>
      <c r="AC12" s="539"/>
      <c r="AD12" s="539"/>
      <c r="AE12" s="539"/>
      <c r="AF12" s="539"/>
    </row>
    <row r="13" spans="2:34" ht="15" customHeight="1" x14ac:dyDescent="0.3">
      <c r="C13" s="1" t="s">
        <v>45</v>
      </c>
      <c r="D13" s="219"/>
      <c r="E13" s="219"/>
      <c r="F13" s="219"/>
      <c r="G13" s="277"/>
      <c r="H13" s="219"/>
      <c r="I13" s="219"/>
      <c r="J13" s="219"/>
      <c r="K13" s="219"/>
      <c r="L13" s="159">
        <f t="shared" si="0"/>
        <v>0</v>
      </c>
      <c r="N13" s="219"/>
      <c r="O13" s="219"/>
      <c r="P13" s="219"/>
      <c r="Q13" s="277"/>
      <c r="R13" s="219"/>
      <c r="S13" s="219"/>
      <c r="T13" s="219"/>
      <c r="U13" s="219"/>
      <c r="V13" s="159">
        <f t="shared" si="1"/>
        <v>0</v>
      </c>
      <c r="X13" s="158">
        <f>Capex_by_Driver!D12-D13-N13</f>
        <v>0</v>
      </c>
      <c r="Y13" s="158">
        <f>Capex_by_Driver!E12-E13-O13</f>
        <v>0</v>
      </c>
      <c r="Z13" s="539"/>
      <c r="AA13" s="538"/>
      <c r="AB13" s="539"/>
      <c r="AC13" s="539"/>
      <c r="AD13" s="539"/>
      <c r="AE13" s="539"/>
      <c r="AF13" s="539"/>
    </row>
    <row r="14" spans="2:34" ht="15" customHeight="1" x14ac:dyDescent="0.3">
      <c r="C14" s="1" t="s">
        <v>48</v>
      </c>
      <c r="D14" s="219"/>
      <c r="E14" s="219"/>
      <c r="F14" s="219"/>
      <c r="G14" s="277"/>
      <c r="H14" s="219"/>
      <c r="I14" s="219"/>
      <c r="J14" s="219"/>
      <c r="K14" s="219"/>
      <c r="L14" s="159">
        <f t="shared" si="0"/>
        <v>0</v>
      </c>
      <c r="N14" s="219"/>
      <c r="O14" s="219"/>
      <c r="P14" s="219"/>
      <c r="Q14" s="277"/>
      <c r="R14" s="219"/>
      <c r="S14" s="219"/>
      <c r="T14" s="219"/>
      <c r="U14" s="219"/>
      <c r="V14" s="159">
        <f t="shared" si="1"/>
        <v>0</v>
      </c>
      <c r="X14" s="158">
        <f>Capex_by_Driver!D13-D14-N14</f>
        <v>0</v>
      </c>
      <c r="Y14" s="158">
        <f>Capex_by_Driver!E13-E14-O14</f>
        <v>0</v>
      </c>
      <c r="Z14" s="539"/>
      <c r="AA14" s="538"/>
      <c r="AB14" s="539"/>
      <c r="AC14" s="539"/>
      <c r="AD14" s="539"/>
      <c r="AE14" s="539"/>
      <c r="AF14" s="539"/>
    </row>
    <row r="15" spans="2:34" x14ac:dyDescent="0.3">
      <c r="B15" s="251" t="s">
        <v>26</v>
      </c>
      <c r="G15" s="38"/>
      <c r="L15" s="159">
        <f t="shared" si="0"/>
        <v>0</v>
      </c>
      <c r="Q15" s="38"/>
      <c r="V15" s="159">
        <f t="shared" si="1"/>
        <v>0</v>
      </c>
      <c r="Z15" s="537"/>
      <c r="AA15" s="536"/>
      <c r="AB15" s="537"/>
      <c r="AC15" s="537"/>
      <c r="AD15" s="537"/>
      <c r="AE15" s="537"/>
      <c r="AF15" s="537"/>
    </row>
    <row r="16" spans="2:34" x14ac:dyDescent="0.3">
      <c r="C16" s="1" t="s">
        <v>44</v>
      </c>
      <c r="G16" s="38"/>
      <c r="L16" s="159">
        <f t="shared" si="0"/>
        <v>0</v>
      </c>
      <c r="Q16" s="38"/>
      <c r="V16" s="159">
        <f t="shared" si="1"/>
        <v>0</v>
      </c>
      <c r="X16" s="39">
        <f>Capex_by_Driver!D15-D16-N16</f>
        <v>0</v>
      </c>
      <c r="Y16" s="39">
        <f>Capex_by_Driver!E15-E16-O16</f>
        <v>0</v>
      </c>
      <c r="Z16" s="523"/>
      <c r="AA16" s="546"/>
      <c r="AB16" s="523"/>
      <c r="AC16" s="523"/>
      <c r="AD16" s="523"/>
      <c r="AE16" s="523"/>
      <c r="AF16" s="539"/>
    </row>
    <row r="17" spans="2:33" x14ac:dyDescent="0.3">
      <c r="C17" s="1" t="s">
        <v>45</v>
      </c>
      <c r="G17" s="38"/>
      <c r="L17" s="159">
        <f t="shared" si="0"/>
        <v>0</v>
      </c>
      <c r="Q17" s="38"/>
      <c r="V17" s="159">
        <f t="shared" si="1"/>
        <v>0</v>
      </c>
      <c r="X17" s="39">
        <f>Capex_by_Driver!D16-D17-N17</f>
        <v>0</v>
      </c>
      <c r="Y17" s="39">
        <f>Capex_by_Driver!E16-E17-O17</f>
        <v>0</v>
      </c>
      <c r="Z17" s="523"/>
      <c r="AA17" s="546"/>
      <c r="AB17" s="523"/>
      <c r="AC17" s="523"/>
      <c r="AD17" s="523"/>
      <c r="AE17" s="523"/>
      <c r="AF17" s="539"/>
    </row>
    <row r="18" spans="2:33" x14ac:dyDescent="0.3">
      <c r="C18" s="1" t="s">
        <v>48</v>
      </c>
      <c r="G18" s="38"/>
      <c r="L18" s="159">
        <f t="shared" si="0"/>
        <v>0</v>
      </c>
      <c r="Q18" s="38"/>
      <c r="V18" s="159">
        <f t="shared" si="1"/>
        <v>0</v>
      </c>
      <c r="X18" s="219">
        <f>Capex_by_Driver!D17-D18-N18</f>
        <v>0</v>
      </c>
      <c r="Y18" s="219">
        <f>Capex_by_Driver!E17-E18-O18</f>
        <v>0</v>
      </c>
      <c r="Z18" s="535"/>
      <c r="AA18" s="534"/>
      <c r="AB18" s="535"/>
      <c r="AC18" s="535"/>
      <c r="AD18" s="535"/>
      <c r="AE18" s="535"/>
      <c r="AF18" s="539"/>
    </row>
    <row r="19" spans="2:33" x14ac:dyDescent="0.3">
      <c r="B19" s="251" t="s">
        <v>150</v>
      </c>
      <c r="G19" s="38"/>
      <c r="L19" s="159">
        <f t="shared" si="0"/>
        <v>0</v>
      </c>
      <c r="Q19" s="38"/>
      <c r="V19" s="159">
        <f t="shared" si="1"/>
        <v>0</v>
      </c>
      <c r="Z19" s="537"/>
      <c r="AA19" s="536"/>
      <c r="AB19" s="537"/>
      <c r="AC19" s="537"/>
      <c r="AD19" s="537"/>
      <c r="AE19" s="537"/>
      <c r="AF19" s="537"/>
    </row>
    <row r="20" spans="2:33" x14ac:dyDescent="0.3">
      <c r="B20" s="251"/>
      <c r="C20" s="1" t="s">
        <v>44</v>
      </c>
      <c r="D20" s="158">
        <f>SUMIFS(Major_Rebuilds!CQ$6:CQ$36,Major_Rebuilds!$E$6:$E$36,$C20,Major_Rebuilds!$F$6:$F$36,$D$3,Major_Rebuilds!$G$6:$G$36,$D$4)+SUMIFS(Stations!DF$7:DF$38,Stations!$E$7:$E$38,$C20,Stations!$F$7:$F$38,$D$3,Stations!$G$7:$G$38,$D$4)+SUMIFS(Lines!DF$7:DF$37,Lines!$E$7:$E$37,$C20,Lines!$F$7:$F$37,$D$3,Lines!$G$7:$G$37,$D$4)+SUMIFS('PC&amp;A'!CQ$6:CQ$36,'PC&amp;A'!$E$6:$E$36,$C20,'PC&amp;A'!$F$6:$F$36,$D$3,'PC&amp;A'!$G$6:$G$36,$D$4)+SUMIFS('SCADA&amp;Comms'!CQ$6:CQ$36,'SCADA&amp;Comms'!$E$6:$E$36,$C20,'SCADA&amp;Comms'!$F$6:$F$36,$D$3,'SCADA&amp;Comms'!$G$6:$G$36,$D$4)</f>
        <v>0</v>
      </c>
      <c r="E20" s="158">
        <f>SUMIFS(Major_Rebuilds!CR$6:CR$36,Major_Rebuilds!$E$6:$E$36,$C20,Major_Rebuilds!$F$6:$F$36,$D$3,Major_Rebuilds!$G$6:$G$36,$D$4)+SUMIFS(Stations!DG$7:DG$38,Stations!$E$7:$E$38,$C20,Stations!$F$7:$F$38,$D$3,Stations!$G$7:$G$38,$D$4)+SUMIFS(Lines!DG$7:DG$37,Lines!$E$7:$E$37,$C20,Lines!$F$7:$F$37,$D$3,Lines!$G$7:$G$37,$D$4)+SUMIFS('PC&amp;A'!CR$6:CR$36,'PC&amp;A'!$E$6:$E$36,$C20,'PC&amp;A'!$F$6:$F$36,$D$3,'PC&amp;A'!$G$6:$G$36,$D$4)+SUMIFS('SCADA&amp;Comms'!CR$6:CR$36,'SCADA&amp;Comms'!$E$6:$E$36,$C20,'SCADA&amp;Comms'!$F$6:$F$36,$D$3,'SCADA&amp;Comms'!$G$6:$G$36,$D$4)</f>
        <v>0</v>
      </c>
      <c r="F20" s="158">
        <v>0</v>
      </c>
      <c r="G20" s="269">
        <v>0</v>
      </c>
      <c r="H20" s="158">
        <v>0</v>
      </c>
      <c r="I20" s="158">
        <v>0</v>
      </c>
      <c r="J20" s="158">
        <v>0</v>
      </c>
      <c r="K20" s="158">
        <v>0</v>
      </c>
      <c r="L20" s="159">
        <f t="shared" si="0"/>
        <v>0</v>
      </c>
      <c r="N20" s="158">
        <f>SUMIFS(Major_Rebuilds!CQ$6:CQ$36,Major_Rebuilds!$E$6:$E$36,$C20,Major_Rebuilds!$F$6:$F$36,$N$3,Major_Rebuilds!$G$6:$G$36,$N$4)+SUMIFS(Stations!DF$7:DF$38,Stations!$E$7:$E$38,$C20,Stations!$F$7:$F$38,$N$3,Stations!$G$7:$G$38,$N$4)+SUMIFS(Lines!DF$7:DF$37,Lines!$E$7:$E$37,$C20,Lines!$F$7:$F$37,$N$3,Lines!$G$7:$G$37,$N$4)+SUMIFS('PC&amp;A'!CQ$6:CQ$36,'PC&amp;A'!$E$6:$E$36,$C20,'PC&amp;A'!$F$6:$F$36,$N$3,'PC&amp;A'!$G$6:$G$36,$N$4)+SUMIFS('SCADA&amp;Comms'!CQ$6:CQ$36,'SCADA&amp;Comms'!$E$6:$E$36,$C20,'SCADA&amp;Comms'!$F$6:$F$36,$N$3,'SCADA&amp;Comms'!$G$6:$G$36,$N$4)</f>
        <v>0</v>
      </c>
      <c r="O20" s="158">
        <f>SUMIFS(Major_Rebuilds!CR$6:CR$36,Major_Rebuilds!$E$6:$E$36,$C20,Major_Rebuilds!$F$6:$F$36,$N$3,Major_Rebuilds!$G$6:$G$36,$N$4)+SUMIFS(Stations!DG$7:DG$38,Stations!$E$7:$E$38,$C20,Stations!$F$7:$F$38,$N$3,Stations!$G$7:$G$38,$N$4)+SUMIFS(Lines!DG$7:DG$37,Lines!$E$7:$E$37,$C20,Lines!$F$7:$F$37,$N$3,Lines!$G$7:$G$37,$N$4)+SUMIFS('PC&amp;A'!CR$6:CR$36,'PC&amp;A'!$E$6:$E$36,$C20,'PC&amp;A'!$F$6:$F$36,$N$3,'PC&amp;A'!$G$6:$G$36,$N$4)+SUMIFS('SCADA&amp;Comms'!CR$6:CR$36,'SCADA&amp;Comms'!$E$6:$E$36,$C20,'SCADA&amp;Comms'!$F$6:$F$36,$N$3,'SCADA&amp;Comms'!$G$6:$G$36,$N$4)</f>
        <v>0</v>
      </c>
      <c r="P20" s="158">
        <v>0</v>
      </c>
      <c r="Q20" s="269">
        <v>0</v>
      </c>
      <c r="R20" s="158">
        <v>0</v>
      </c>
      <c r="S20" s="158">
        <v>0</v>
      </c>
      <c r="T20" s="158">
        <v>0</v>
      </c>
      <c r="U20" s="158">
        <v>0</v>
      </c>
      <c r="V20" s="159">
        <f t="shared" si="1"/>
        <v>0</v>
      </c>
      <c r="X20" s="158">
        <f>Capex_by_Driver!D19-D20-N20</f>
        <v>0</v>
      </c>
      <c r="Y20" s="158">
        <f>Capex_by_Driver!E19-E20-O20</f>
        <v>0</v>
      </c>
      <c r="Z20" s="539"/>
      <c r="AA20" s="538"/>
      <c r="AB20" s="539"/>
      <c r="AC20" s="539"/>
      <c r="AD20" s="539"/>
      <c r="AE20" s="539"/>
      <c r="AF20" s="539"/>
    </row>
    <row r="21" spans="2:33" x14ac:dyDescent="0.3">
      <c r="B21" s="251"/>
      <c r="C21" s="1" t="s">
        <v>45</v>
      </c>
      <c r="D21" s="158">
        <f>SUMIFS(Major_Rebuilds!CQ$6:CQ$36,Major_Rebuilds!$E$6:$E$36,$C21,Major_Rebuilds!$F$6:$F$36,$D$3,Major_Rebuilds!$G$6:$G$36,$D$4)+SUMIFS(Stations!DF$7:DF$38,Stations!$E$7:$E$38,$C21,Stations!$F$7:$F$38,$D$3,Stations!$G$7:$G$38,$D$4)+SUMIFS(Lines!DF$7:DF$37,Lines!$E$7:$E$37,$C21,Lines!$F$7:$F$37,$D$3,Lines!$G$7:$G$37,$D$4)+SUMIFS('PC&amp;A'!CQ$6:CQ$36,'PC&amp;A'!$E$6:$E$36,$C21,'PC&amp;A'!$F$6:$F$36,$D$3,'PC&amp;A'!$G$6:$G$36,$D$4)+SUMIFS('SCADA&amp;Comms'!CQ$6:CQ$36,'SCADA&amp;Comms'!$E$6:$E$36,$C21,'SCADA&amp;Comms'!$F$6:$F$36,$D$3,'SCADA&amp;Comms'!$G$6:$G$36,$D$4)</f>
        <v>0</v>
      </c>
      <c r="E21" s="158">
        <f>SUMIFS(Major_Rebuilds!CR$6:CR$36,Major_Rebuilds!$E$6:$E$36,$C21,Major_Rebuilds!$F$6:$F$36,$D$3,Major_Rebuilds!$G$6:$G$36,$D$4)+SUMIFS(Stations!DG$7:DG$38,Stations!$E$7:$E$38,$C21,Stations!$F$7:$F$38,$D$3,Stations!$G$7:$G$38,$D$4)+SUMIFS(Lines!DG$7:DG$37,Lines!$E$7:$E$37,$C21,Lines!$F$7:$F$37,$D$3,Lines!$G$7:$G$37,$D$4)+SUMIFS('PC&amp;A'!CR$6:CR$36,'PC&amp;A'!$E$6:$E$36,$C21,'PC&amp;A'!$F$6:$F$36,$D$3,'PC&amp;A'!$G$6:$G$36,$D$4)+SUMIFS('SCADA&amp;Comms'!CR$6:CR$36,'SCADA&amp;Comms'!$E$6:$E$36,$C21,'SCADA&amp;Comms'!$F$6:$F$36,$D$3,'SCADA&amp;Comms'!$G$6:$G$36,$D$4)</f>
        <v>0</v>
      </c>
      <c r="F21" s="158">
        <v>0</v>
      </c>
      <c r="G21" s="269">
        <v>0</v>
      </c>
      <c r="H21" s="158">
        <v>0</v>
      </c>
      <c r="I21" s="158">
        <v>0</v>
      </c>
      <c r="J21" s="158">
        <v>0</v>
      </c>
      <c r="K21" s="158">
        <v>0</v>
      </c>
      <c r="L21" s="159">
        <f t="shared" si="0"/>
        <v>0</v>
      </c>
      <c r="N21" s="158">
        <f>SUMIFS(Major_Rebuilds!CQ$6:CQ$36,Major_Rebuilds!$E$6:$E$36,$C21,Major_Rebuilds!$F$6:$F$36,$N$3,Major_Rebuilds!$G$6:$G$36,$N$4)+SUMIFS(Stations!DF$7:DF$38,Stations!$E$7:$E$38,$C21,Stations!$F$7:$F$38,$N$3,Stations!$G$7:$G$38,$N$4)+SUMIFS(Lines!DF$7:DF$37,Lines!$E$7:$E$37,$C21,Lines!$F$7:$F$37,$N$3,Lines!$G$7:$G$37,$N$4)+SUMIFS('PC&amp;A'!CQ$6:CQ$36,'PC&amp;A'!$E$6:$E$36,$C21,'PC&amp;A'!$F$6:$F$36,$N$3,'PC&amp;A'!$G$6:$G$36,$N$4)+SUMIFS('SCADA&amp;Comms'!CQ$6:CQ$36,'SCADA&amp;Comms'!$E$6:$E$36,$C21,'SCADA&amp;Comms'!$F$6:$F$36,$N$3,'SCADA&amp;Comms'!$G$6:$G$36,$N$4)</f>
        <v>0</v>
      </c>
      <c r="O21" s="158">
        <f>SUMIFS(Major_Rebuilds!CR$6:CR$36,Major_Rebuilds!$E$6:$E$36,$C21,Major_Rebuilds!$F$6:$F$36,$N$3,Major_Rebuilds!$G$6:$G$36,$N$4)+SUMIFS(Stations!DG$7:DG$38,Stations!$E$7:$E$38,$C21,Stations!$F$7:$F$38,$N$3,Stations!$G$7:$G$38,$N$4)+SUMIFS(Lines!DG$7:DG$37,Lines!$E$7:$E$37,$C21,Lines!$F$7:$F$37,$N$3,Lines!$G$7:$G$37,$N$4)+SUMIFS('PC&amp;A'!CR$6:CR$36,'PC&amp;A'!$E$6:$E$36,$C21,'PC&amp;A'!$F$6:$F$36,$N$3,'PC&amp;A'!$G$6:$G$36,$N$4)+SUMIFS('SCADA&amp;Comms'!CR$6:CR$36,'SCADA&amp;Comms'!$E$6:$E$36,$C21,'SCADA&amp;Comms'!$F$6:$F$36,$N$3,'SCADA&amp;Comms'!$G$6:$G$36,$N$4)</f>
        <v>0</v>
      </c>
      <c r="P21" s="158">
        <v>0</v>
      </c>
      <c r="Q21" s="269">
        <v>0</v>
      </c>
      <c r="R21" s="158">
        <v>0</v>
      </c>
      <c r="S21" s="158">
        <v>0</v>
      </c>
      <c r="T21" s="158">
        <v>0</v>
      </c>
      <c r="U21" s="158">
        <v>0</v>
      </c>
      <c r="V21" s="159">
        <f t="shared" si="1"/>
        <v>0</v>
      </c>
      <c r="X21" s="158">
        <f>Capex_by_Driver!D20-D21-N21</f>
        <v>0</v>
      </c>
      <c r="Y21" s="158">
        <f>Capex_by_Driver!E20-E21-O21</f>
        <v>0</v>
      </c>
      <c r="Z21" s="539"/>
      <c r="AA21" s="538"/>
      <c r="AB21" s="539"/>
      <c r="AC21" s="539"/>
      <c r="AD21" s="539"/>
      <c r="AE21" s="539"/>
      <c r="AF21" s="539"/>
    </row>
    <row r="22" spans="2:33" x14ac:dyDescent="0.3">
      <c r="B22" s="251"/>
      <c r="C22" s="1" t="s">
        <v>48</v>
      </c>
      <c r="D22" s="158">
        <f>SUMIFS(Major_Rebuilds!CQ$6:CQ$36,Major_Rebuilds!$E$6:$E$36,$C22,Major_Rebuilds!$F$6:$F$36,$D$3,Major_Rebuilds!$G$6:$G$36,$D$4)+SUMIFS(Stations!DF$7:DF$38,Stations!$E$7:$E$38,$C22,Stations!$F$7:$F$38,$D$3,Stations!$G$7:$G$38,$D$4)+SUMIFS(Lines!DF$7:DF$37,Lines!$E$7:$E$37,$C22,Lines!$F$7:$F$37,$D$3,Lines!$G$7:$G$37,$D$4)+SUMIFS('PC&amp;A'!CQ$6:CQ$36,'PC&amp;A'!$E$6:$E$36,$C22,'PC&amp;A'!$F$6:$F$36,$D$3,'PC&amp;A'!$G$6:$G$36,$D$4)+SUMIFS('SCADA&amp;Comms'!CQ$6:CQ$36,'SCADA&amp;Comms'!$E$6:$E$36,$C22,'SCADA&amp;Comms'!$F$6:$F$36,$D$3,'SCADA&amp;Comms'!$G$6:$G$36,$D$4)</f>
        <v>0</v>
      </c>
      <c r="E22" s="158">
        <f>SUMIFS(Major_Rebuilds!CR$6:CR$36,Major_Rebuilds!$E$6:$E$36,$C22,Major_Rebuilds!$F$6:$F$36,$D$3,Major_Rebuilds!$G$6:$G$36,$D$4)+SUMIFS(Stations!DG$7:DG$38,Stations!$E$7:$E$38,$C22,Stations!$F$7:$F$38,$D$3,Stations!$G$7:$G$38,$D$4)+SUMIFS(Lines!DG$7:DG$37,Lines!$E$7:$E$37,$C22,Lines!$F$7:$F$37,$D$3,Lines!$G$7:$G$37,$D$4)+SUMIFS('PC&amp;A'!CR$6:CR$36,'PC&amp;A'!$E$6:$E$36,$C22,'PC&amp;A'!$F$6:$F$36,$D$3,'PC&amp;A'!$G$6:$G$36,$D$4)+SUMIFS('SCADA&amp;Comms'!CR$6:CR$36,'SCADA&amp;Comms'!$E$6:$E$36,$C22,'SCADA&amp;Comms'!$F$6:$F$36,$D$3,'SCADA&amp;Comms'!$G$6:$G$36,$D$4)</f>
        <v>0</v>
      </c>
      <c r="F22" s="158">
        <v>0</v>
      </c>
      <c r="G22" s="269">
        <v>0</v>
      </c>
      <c r="H22" s="158">
        <v>0</v>
      </c>
      <c r="I22" s="158">
        <v>0</v>
      </c>
      <c r="J22" s="158">
        <v>0</v>
      </c>
      <c r="K22" s="158">
        <v>0</v>
      </c>
      <c r="L22" s="159">
        <f t="shared" si="0"/>
        <v>0</v>
      </c>
      <c r="N22" s="158">
        <f>SUMIFS(Major_Rebuilds!CQ$6:CQ$36,Major_Rebuilds!$E$6:$E$36,$C22,Major_Rebuilds!$F$6:$F$36,$N$3,Major_Rebuilds!$G$6:$G$36,$N$4)+SUMIFS(Stations!DF$7:DF$38,Stations!$E$7:$E$38,$C22,Stations!$F$7:$F$38,$N$3,Stations!$G$7:$G$38,$N$4)+SUMIFS(Lines!DF$7:DF$37,Lines!$E$7:$E$37,$C22,Lines!$F$7:$F$37,$N$3,Lines!$G$7:$G$37,$N$4)+SUMIFS('PC&amp;A'!CQ$6:CQ$36,'PC&amp;A'!$E$6:$E$36,$C22,'PC&amp;A'!$F$6:$F$36,$N$3,'PC&amp;A'!$G$6:$G$36,$N$4)+SUMIFS('SCADA&amp;Comms'!CQ$6:CQ$36,'SCADA&amp;Comms'!$E$6:$E$36,$C22,'SCADA&amp;Comms'!$F$6:$F$36,$N$3,'SCADA&amp;Comms'!$G$6:$G$36,$N$4)</f>
        <v>0</v>
      </c>
      <c r="O22" s="158">
        <f>SUMIFS(Major_Rebuilds!CR$6:CR$36,Major_Rebuilds!$E$6:$E$36,$C22,Major_Rebuilds!$F$6:$F$36,$N$3,Major_Rebuilds!$G$6:$G$36,$N$4)+SUMIFS(Stations!DG$7:DG$38,Stations!$E$7:$E$38,$C22,Stations!$F$7:$F$38,$N$3,Stations!$G$7:$G$38,$N$4)+SUMIFS(Lines!DG$7:DG$37,Lines!$E$7:$E$37,$C22,Lines!$F$7:$F$37,$N$3,Lines!$G$7:$G$37,$N$4)+SUMIFS('PC&amp;A'!CR$6:CR$36,'PC&amp;A'!$E$6:$E$36,$C22,'PC&amp;A'!$F$6:$F$36,$N$3,'PC&amp;A'!$G$6:$G$36,$N$4)+SUMIFS('SCADA&amp;Comms'!CR$6:CR$36,'SCADA&amp;Comms'!$E$6:$E$36,$C22,'SCADA&amp;Comms'!$F$6:$F$36,$N$3,'SCADA&amp;Comms'!$G$6:$G$36,$N$4)</f>
        <v>0</v>
      </c>
      <c r="P22" s="158">
        <v>0</v>
      </c>
      <c r="Q22" s="269">
        <v>0</v>
      </c>
      <c r="R22" s="158">
        <v>0</v>
      </c>
      <c r="S22" s="158">
        <v>0</v>
      </c>
      <c r="T22" s="158">
        <v>0</v>
      </c>
      <c r="U22" s="158">
        <v>0</v>
      </c>
      <c r="V22" s="159">
        <f t="shared" si="1"/>
        <v>0</v>
      </c>
      <c r="X22" s="158">
        <f>Capex_by_Driver!D21-D22-N22</f>
        <v>0</v>
      </c>
      <c r="Y22" s="158">
        <f>Capex_by_Driver!E21-E22-O22</f>
        <v>0</v>
      </c>
      <c r="Z22" s="539"/>
      <c r="AA22" s="538"/>
      <c r="AB22" s="539"/>
      <c r="AC22" s="539"/>
      <c r="AD22" s="539"/>
      <c r="AE22" s="539"/>
      <c r="AF22" s="539"/>
    </row>
    <row r="23" spans="2:33" x14ac:dyDescent="0.3">
      <c r="B23" s="251" t="s">
        <v>488</v>
      </c>
      <c r="G23" s="38"/>
      <c r="L23" s="159">
        <f t="shared" si="0"/>
        <v>0</v>
      </c>
      <c r="Q23" s="38"/>
      <c r="V23" s="159">
        <f t="shared" si="1"/>
        <v>0</v>
      </c>
      <c r="Z23" s="537"/>
      <c r="AA23" s="536"/>
      <c r="AB23" s="537"/>
      <c r="AC23" s="537"/>
      <c r="AD23" s="537"/>
      <c r="AE23" s="537"/>
      <c r="AF23" s="537"/>
    </row>
    <row r="24" spans="2:33" x14ac:dyDescent="0.3">
      <c r="B24" s="251"/>
      <c r="C24" s="1" t="s">
        <v>44</v>
      </c>
      <c r="D24" s="158">
        <f>SUMIFS(ESL_1!DF$7:DF$37,ESL_1!$E$7:$E$37,$C24,ESL_1!$G$7:$G$37,$D$4)+SUMIFS(ESL_2!CQ$6:CQ$36,ESL_2!$E$6:$E$36,$C24,ESL_2!$G$6:$G$36,$D$4)+SUMIFS(ESL_2!CQ$42:CQ$44,ESL_2!$E$42:$E$44,$C24,ESL_2!$G$42:$G$44,$D$4)</f>
        <v>0</v>
      </c>
      <c r="E24" s="158">
        <f>SUMIFS(ESL_1!DG$7:DG$37,ESL_1!$E$7:$E$37,$C24,ESL_1!$G$7:$G$37,$D$4)+SUMIFS(ESL_2!CR$6:CR$36,ESL_2!$E$6:$E$36,$C24,ESL_2!$G$6:$G$36,$D$4)+SUMIFS(ESL_2!CR$42:CR$44,ESL_2!$E$42:$E$44,$C24,ESL_2!$G$42:$G$44,$D$4)</f>
        <v>0</v>
      </c>
      <c r="F24" s="158">
        <v>0</v>
      </c>
      <c r="G24" s="269">
        <v>0</v>
      </c>
      <c r="H24" s="158">
        <v>0</v>
      </c>
      <c r="I24" s="158">
        <v>0</v>
      </c>
      <c r="J24" s="158">
        <v>0</v>
      </c>
      <c r="K24" s="158">
        <v>0</v>
      </c>
      <c r="L24" s="159">
        <f t="shared" si="0"/>
        <v>0</v>
      </c>
      <c r="N24" s="158">
        <f>SUMIFS(ESL_1!DF$7:DF$37,ESL_1!$E$7:$E$37,$C24,ESL_1!$G$7:$G$37,$N$4)+SUMIFS(ESL_2!CQ$6:CQ$36,ESL_2!$E$6:$E$36,$C24,ESL_2!$G$6:$G$36,$N$4)+SUMIFS(ESL_2!CQ$42:CQ$44,ESL_2!$E$42:$E$44,$C24,ESL_2!$G$42:$G$44,$N$4)</f>
        <v>0</v>
      </c>
      <c r="O24" s="158">
        <f>SUMIFS(ESL_1!DG$7:DG$37,ESL_1!$E$7:$E$37,$C24,ESL_1!$G$7:$G$37,$N$4)+SUMIFS(ESL_2!CR$6:CR$36,ESL_2!$E$6:$E$36,$C24,ESL_2!$G$6:$G$36,$N$4)+SUMIFS(ESL_2!CR$42:CR$44,ESL_2!$E$42:$E$44,$C24,ESL_2!$G$42:$G$44,$N$4)</f>
        <v>0</v>
      </c>
      <c r="P24" s="158">
        <v>0</v>
      </c>
      <c r="Q24" s="269">
        <v>835.58291626301923</v>
      </c>
      <c r="R24" s="158">
        <v>840.58549805140012</v>
      </c>
      <c r="S24" s="158">
        <v>845.88752882093468</v>
      </c>
      <c r="T24" s="158">
        <v>850.59509412984346</v>
      </c>
      <c r="U24" s="158">
        <v>855.01784686743122</v>
      </c>
      <c r="V24" s="159">
        <f t="shared" si="1"/>
        <v>4227.6688841326286</v>
      </c>
      <c r="X24" s="158">
        <f>Capex_by_Driver!D23-D24-N24</f>
        <v>0</v>
      </c>
      <c r="Y24" s="158">
        <f>Capex_by_Driver!E23-E24-O24</f>
        <v>0</v>
      </c>
      <c r="Z24" s="539"/>
      <c r="AA24" s="538"/>
      <c r="AB24" s="539"/>
      <c r="AC24" s="539"/>
      <c r="AD24" s="539"/>
      <c r="AE24" s="539"/>
      <c r="AF24" s="539"/>
    </row>
    <row r="25" spans="2:33" x14ac:dyDescent="0.3">
      <c r="B25" s="251"/>
      <c r="C25" s="1" t="s">
        <v>45</v>
      </c>
      <c r="D25" s="158">
        <f>SUMIFS(ESL_1!DF$7:DF$37,ESL_1!$E$7:$E$37,$C25,ESL_1!$G$7:$G$37,$D$4)+SUMIFS(ESL_2!CQ$6:CQ$36,ESL_2!$E$6:$E$36,$C25,ESL_2!$G$6:$G$36,$D$4)+SUMIFS(ESL_2!CQ$42:CQ$44,ESL_2!$E$42:$E$44,$C25,ESL_2!$G$42:$G$44,$D$4)</f>
        <v>0</v>
      </c>
      <c r="E25" s="158">
        <f>SUMIFS(ESL_1!DG$7:DG$37,ESL_1!$E$7:$E$37,$C25,ESL_1!$G$7:$G$37,$D$4)+SUMIFS(ESL_2!CR$6:CR$36,ESL_2!$E$6:$E$36,$C25,ESL_2!$G$6:$G$36,$D$4)+SUMIFS(ESL_2!CR$42:CR$44,ESL_2!$E$42:$E$44,$C25,ESL_2!$G$42:$G$44,$D$4)</f>
        <v>0</v>
      </c>
      <c r="F25" s="158">
        <v>0</v>
      </c>
      <c r="G25" s="269">
        <v>7818.8279868726604</v>
      </c>
      <c r="H25" s="158">
        <v>8783.5393773813394</v>
      </c>
      <c r="I25" s="158">
        <v>10909.895960846834</v>
      </c>
      <c r="J25" s="158">
        <v>15648.643734410663</v>
      </c>
      <c r="K25" s="158">
        <v>26309.882322499314</v>
      </c>
      <c r="L25" s="159">
        <f t="shared" si="0"/>
        <v>69470.789382010815</v>
      </c>
      <c r="N25" s="158">
        <f>SUMIFS(ESL_1!DF$7:DF$37,ESL_1!$E$7:$E$37,$C25,ESL_1!$G$7:$G$37,$N$4)+SUMIFS(ESL_2!CQ$6:CQ$36,ESL_2!$E$6:$E$36,$C25,ESL_2!$G$6:$G$36,$N$4)+SUMIFS(ESL_2!CQ$42:CQ$44,ESL_2!$E$42:$E$44,$C25,ESL_2!$G$42:$G$44,$N$4)</f>
        <v>0</v>
      </c>
      <c r="O25" s="158">
        <f>SUMIFS(ESL_1!DG$7:DG$37,ESL_1!$E$7:$E$37,$C25,ESL_1!$G$7:$G$37,$N$4)+SUMIFS(ESL_2!CR$6:CR$36,ESL_2!$E$6:$E$36,$C25,ESL_2!$G$6:$G$36,$N$4)+SUMIFS(ESL_2!CR$42:CR$44,ESL_2!$E$42:$E$44,$C25,ESL_2!$G$42:$G$44,$N$4)</f>
        <v>0</v>
      </c>
      <c r="P25" s="158">
        <v>0</v>
      </c>
      <c r="Q25" s="269">
        <v>0</v>
      </c>
      <c r="R25" s="158">
        <v>0</v>
      </c>
      <c r="S25" s="158">
        <v>0</v>
      </c>
      <c r="T25" s="158">
        <v>0</v>
      </c>
      <c r="U25" s="158">
        <v>0</v>
      </c>
      <c r="V25" s="159">
        <f t="shared" si="1"/>
        <v>0</v>
      </c>
      <c r="X25" s="158">
        <f>Capex_by_Driver!D24-D25-N25</f>
        <v>0</v>
      </c>
      <c r="Y25" s="158">
        <f>Capex_by_Driver!E24-E25-O25</f>
        <v>0</v>
      </c>
      <c r="Z25" s="539"/>
      <c r="AA25" s="538"/>
      <c r="AB25" s="539"/>
      <c r="AC25" s="539"/>
      <c r="AD25" s="539"/>
      <c r="AE25" s="539"/>
      <c r="AF25" s="539"/>
    </row>
    <row r="26" spans="2:33" x14ac:dyDescent="0.3">
      <c r="B26" s="251"/>
      <c r="C26" s="1" t="s">
        <v>48</v>
      </c>
      <c r="D26" s="158">
        <f>SUMIFS(ESL_1!DF$7:DF$37,ESL_1!$E$7:$E$37,$C26,ESL_1!$G$7:$G$37,$D$4)+SUMIFS(ESL_2!CQ$6:CQ$36,ESL_2!$E$6:$E$36,$C26,ESL_2!$G$6:$G$36,$D$4)+SUMIFS(ESL_2!CQ$42:CQ$44,ESL_2!$E$42:$E$44,$C26,ESL_2!$G$42:$G$44,$D$4)</f>
        <v>0</v>
      </c>
      <c r="E26" s="158">
        <f>SUMIFS(ESL_1!DG$7:DG$37,ESL_1!$E$7:$E$37,$C26,ESL_1!$G$7:$G$37,$D$4)+SUMIFS(ESL_2!CR$6:CR$36,ESL_2!$E$6:$E$36,$C26,ESL_2!$G$6:$G$36,$D$4)+SUMIFS(ESL_2!CR$42:CR$44,ESL_2!$E$42:$E$44,$C26,ESL_2!$G$42:$G$44,$D$4)</f>
        <v>0</v>
      </c>
      <c r="F26" s="158">
        <v>0</v>
      </c>
      <c r="G26" s="269">
        <v>0</v>
      </c>
      <c r="H26" s="158">
        <v>0</v>
      </c>
      <c r="I26" s="158">
        <v>0</v>
      </c>
      <c r="J26" s="158">
        <v>0</v>
      </c>
      <c r="K26" s="158">
        <v>0</v>
      </c>
      <c r="L26" s="159">
        <f t="shared" si="0"/>
        <v>0</v>
      </c>
      <c r="N26" s="158">
        <f>SUMIFS(ESL_1!DF$7:DF$37,ESL_1!$E$7:$E$37,$C26,ESL_1!$G$7:$G$37,$N$4)+SUMIFS(ESL_2!CQ$6:CQ$36,ESL_2!$E$6:$E$36,$C26,ESL_2!$G$6:$G$36,$N$4)+SUMIFS(ESL_2!CQ$42:CQ$44,ESL_2!$E$42:$E$44,$C26,ESL_2!$G$42:$G$44,$N$4)</f>
        <v>0</v>
      </c>
      <c r="O26" s="158">
        <f>SUMIFS(ESL_1!DG$7:DG$37,ESL_1!$E$7:$E$37,$C26,ESL_1!$G$7:$G$37,$N$4)+SUMIFS(ESL_2!CR$6:CR$36,ESL_2!$E$6:$E$36,$C26,ESL_2!$G$6:$G$36,$N$4)+SUMIFS(ESL_2!CR$42:CR$44,ESL_2!$E$42:$E$44,$C26,ESL_2!$G$42:$G$44,$N$4)</f>
        <v>0</v>
      </c>
      <c r="P26" s="158">
        <v>0</v>
      </c>
      <c r="Q26" s="269">
        <v>0</v>
      </c>
      <c r="R26" s="158">
        <v>0</v>
      </c>
      <c r="S26" s="158">
        <v>0</v>
      </c>
      <c r="T26" s="158">
        <v>0</v>
      </c>
      <c r="U26" s="158">
        <v>0</v>
      </c>
      <c r="V26" s="159">
        <f t="shared" si="1"/>
        <v>0</v>
      </c>
      <c r="X26" s="158">
        <f>Capex_by_Driver!D25-D26-N26</f>
        <v>0</v>
      </c>
      <c r="Y26" s="158">
        <f>Capex_by_Driver!E25-E26-O26</f>
        <v>0</v>
      </c>
      <c r="Z26" s="539"/>
      <c r="AA26" s="538"/>
      <c r="AB26" s="539"/>
      <c r="AC26" s="539"/>
      <c r="AD26" s="539"/>
      <c r="AE26" s="539"/>
      <c r="AF26" s="539"/>
    </row>
    <row r="27" spans="2:33" x14ac:dyDescent="0.3">
      <c r="B27" s="251" t="s">
        <v>489</v>
      </c>
      <c r="G27" s="38"/>
      <c r="L27" s="159">
        <f t="shared" si="0"/>
        <v>0</v>
      </c>
      <c r="Q27" s="38"/>
      <c r="V27" s="159">
        <f t="shared" si="1"/>
        <v>0</v>
      </c>
      <c r="Z27" s="537"/>
      <c r="AA27" s="536"/>
      <c r="AB27" s="537"/>
      <c r="AC27" s="537"/>
      <c r="AD27" s="537"/>
      <c r="AE27" s="537"/>
      <c r="AF27" s="537"/>
    </row>
    <row r="28" spans="2:33" x14ac:dyDescent="0.3">
      <c r="C28" s="1" t="s">
        <v>44</v>
      </c>
      <c r="D28" s="158">
        <f>SUMIFS(REFCL!CQ$6:CQ$36,REFCL!$E$6:$E$36,$C28,REFCL!$G$6:$G$36,$D$4)</f>
        <v>0</v>
      </c>
      <c r="E28" s="159">
        <f>SUMIFS(REFCL!CR$6:CR$36,REFCL!$E$6:$E$36,$C28,REFCL!$G$6:$G$36,$D$4)</f>
        <v>0</v>
      </c>
      <c r="F28" s="159">
        <v>0</v>
      </c>
      <c r="G28" s="270">
        <v>0</v>
      </c>
      <c r="H28" s="159">
        <v>0</v>
      </c>
      <c r="I28" s="159">
        <v>0</v>
      </c>
      <c r="J28" s="159">
        <v>0</v>
      </c>
      <c r="K28" s="159">
        <v>0</v>
      </c>
      <c r="L28" s="159">
        <f t="shared" si="0"/>
        <v>0</v>
      </c>
      <c r="N28" s="158">
        <f>SUMIFS(REFCL!CQ$6:CQ$36,REFCL!$E$6:$E$36,$C28,REFCL!$G$6:$G$36,$N$4)</f>
        <v>0</v>
      </c>
      <c r="O28" s="159">
        <f>SUMIFS(REFCL!CR$6:CR$36,REFCL!$E$6:$E$36,$C28,REFCL!$G$6:$G$36,$N$4)</f>
        <v>0</v>
      </c>
      <c r="P28" s="159">
        <v>0</v>
      </c>
      <c r="Q28" s="270">
        <v>12930.353853130231</v>
      </c>
      <c r="R28" s="159">
        <v>4412.1401367951457</v>
      </c>
      <c r="S28" s="159">
        <v>0</v>
      </c>
      <c r="T28" s="159">
        <v>0</v>
      </c>
      <c r="U28" s="159">
        <v>0</v>
      </c>
      <c r="V28" s="159">
        <f t="shared" si="1"/>
        <v>17342.493989925377</v>
      </c>
      <c r="X28" s="158">
        <f>Capex_by_Driver!D28-D28-N28</f>
        <v>0</v>
      </c>
      <c r="Y28" s="158">
        <f>Capex_by_Driver!E28-E28-O28</f>
        <v>0</v>
      </c>
      <c r="Z28" s="539"/>
      <c r="AA28" s="538"/>
      <c r="AB28" s="539"/>
      <c r="AC28" s="539"/>
      <c r="AD28" s="539"/>
      <c r="AE28" s="539"/>
      <c r="AF28" s="539"/>
    </row>
    <row r="29" spans="2:33" x14ac:dyDescent="0.3">
      <c r="C29" s="1" t="s">
        <v>45</v>
      </c>
      <c r="D29" s="159">
        <f>SUMIFS(REFCL!CQ$6:CQ$36,REFCL!$E$6:$E$36,$C29,REFCL!$G$6:$G$36,$D$4)</f>
        <v>0</v>
      </c>
      <c r="E29" s="159">
        <f>SUMIFS(REFCL!CR$6:CR$36,REFCL!$E$6:$E$36,$C29,REFCL!$G$6:$G$36,$D$4)</f>
        <v>0</v>
      </c>
      <c r="F29" s="159">
        <v>0</v>
      </c>
      <c r="G29" s="270">
        <v>10272.58281476055</v>
      </c>
      <c r="H29" s="159">
        <v>4633.1230914493481</v>
      </c>
      <c r="I29" s="159">
        <v>0</v>
      </c>
      <c r="J29" s="159">
        <v>0</v>
      </c>
      <c r="K29" s="159">
        <v>0</v>
      </c>
      <c r="L29" s="159">
        <f t="shared" si="0"/>
        <v>14905.705906209898</v>
      </c>
      <c r="N29" s="159">
        <f>SUMIFS(REFCL!CQ$6:CQ$36,REFCL!$E$6:$E$36,$C29,REFCL!$G$6:$G$36,$N$4)</f>
        <v>0</v>
      </c>
      <c r="O29" s="159">
        <f>SUMIFS(REFCL!CR$6:CR$36,REFCL!$E$6:$E$36,$C29,REFCL!$G$6:$G$36,$N$4)</f>
        <v>0</v>
      </c>
      <c r="P29" s="159">
        <v>0</v>
      </c>
      <c r="Q29" s="270">
        <v>5492.2919035196792</v>
      </c>
      <c r="R29" s="159">
        <v>2500.1443053329622</v>
      </c>
      <c r="S29" s="159">
        <v>0</v>
      </c>
      <c r="T29" s="159">
        <v>0</v>
      </c>
      <c r="U29" s="159">
        <v>0</v>
      </c>
      <c r="V29" s="159">
        <f t="shared" si="1"/>
        <v>7992.4362088526414</v>
      </c>
      <c r="X29" s="158">
        <f>Capex_by_Driver!D29-D29-N29</f>
        <v>0</v>
      </c>
      <c r="Y29" s="158">
        <f>Capex_by_Driver!E29-E29-O29</f>
        <v>0</v>
      </c>
      <c r="Z29" s="539"/>
      <c r="AA29" s="538"/>
      <c r="AB29" s="539"/>
      <c r="AC29" s="539"/>
      <c r="AD29" s="539"/>
      <c r="AE29" s="539"/>
      <c r="AF29" s="539"/>
    </row>
    <row r="30" spans="2:33" x14ac:dyDescent="0.3">
      <c r="C30" s="1" t="s">
        <v>48</v>
      </c>
      <c r="D30" s="159">
        <f>SUMIFS(REFCL!CQ$6:CQ$36,REFCL!$E$6:$E$36,$C30,REFCL!$G$6:$G$36,$D$4)</f>
        <v>0</v>
      </c>
      <c r="E30" s="159">
        <f>SUMIFS(REFCL!CR$6:CR$36,REFCL!$E$6:$E$36,$C30,REFCL!$G$6:$G$36,$D$4)</f>
        <v>0</v>
      </c>
      <c r="F30" s="159">
        <v>0</v>
      </c>
      <c r="G30" s="270">
        <v>96.623168117394329</v>
      </c>
      <c r="H30" s="159">
        <v>39.425983672565422</v>
      </c>
      <c r="I30" s="159">
        <v>0</v>
      </c>
      <c r="J30" s="159">
        <v>0</v>
      </c>
      <c r="K30" s="159">
        <v>0</v>
      </c>
      <c r="L30" s="159">
        <f t="shared" si="0"/>
        <v>136.04915178995975</v>
      </c>
      <c r="N30" s="159">
        <f>SUMIFS(REFCL!CQ$6:CQ$36,REFCL!$E$6:$E$36,$C30,REFCL!$G$6:$G$36,$N$4)</f>
        <v>0</v>
      </c>
      <c r="O30" s="159">
        <f>SUMIFS(REFCL!CR$6:CR$36,REFCL!$E$6:$E$36,$C30,REFCL!$G$6:$G$36,$N$4)</f>
        <v>0</v>
      </c>
      <c r="P30" s="159">
        <v>0</v>
      </c>
      <c r="Q30" s="270">
        <v>5016.888319614678</v>
      </c>
      <c r="R30" s="159">
        <v>1395.6768991048891</v>
      </c>
      <c r="S30" s="159">
        <v>0</v>
      </c>
      <c r="T30" s="159">
        <v>0</v>
      </c>
      <c r="U30" s="159">
        <v>0</v>
      </c>
      <c r="V30" s="159">
        <f t="shared" si="1"/>
        <v>6412.5652187195674</v>
      </c>
      <c r="X30" s="158">
        <f>Capex_by_Driver!D30-D30-N30</f>
        <v>0</v>
      </c>
      <c r="Y30" s="158">
        <f>Capex_by_Driver!E30-E30-O30</f>
        <v>0</v>
      </c>
      <c r="Z30" s="539"/>
      <c r="AA30" s="538"/>
      <c r="AB30" s="539"/>
      <c r="AC30" s="539"/>
      <c r="AD30" s="539"/>
      <c r="AE30" s="539"/>
      <c r="AF30" s="539"/>
    </row>
    <row r="31" spans="2:33" x14ac:dyDescent="0.3">
      <c r="AF31" s="204"/>
      <c r="AG31" s="2"/>
    </row>
    <row r="32" spans="2:33" x14ac:dyDescent="0.3">
      <c r="B32" s="2" t="s">
        <v>487</v>
      </c>
      <c r="D32" s="226">
        <f>CP_Yr_4</f>
        <v>43800</v>
      </c>
      <c r="E32" s="226">
        <f>CP_Yr_5</f>
        <v>44166</v>
      </c>
      <c r="F32" s="226">
        <f>Stub</f>
        <v>44377</v>
      </c>
      <c r="G32" s="339">
        <f>Yr_1</f>
        <v>44742</v>
      </c>
      <c r="H32" s="226">
        <f>Yr_2</f>
        <v>45107</v>
      </c>
      <c r="I32" s="226">
        <f>Yr_3</f>
        <v>45473</v>
      </c>
      <c r="J32" s="226">
        <f>Yr_4</f>
        <v>45838</v>
      </c>
      <c r="K32" s="226">
        <f>Yr_5</f>
        <v>46203</v>
      </c>
      <c r="L32" s="301" t="str">
        <f>NReg_Period</f>
        <v>2022-26</v>
      </c>
      <c r="N32" s="226">
        <f>CP_Yr_4</f>
        <v>43800</v>
      </c>
      <c r="O32" s="226">
        <f>CP_Yr_5</f>
        <v>44166</v>
      </c>
      <c r="P32" s="226">
        <f>Stub</f>
        <v>44377</v>
      </c>
      <c r="Q32" s="339">
        <f>Yr_1</f>
        <v>44742</v>
      </c>
      <c r="R32" s="226">
        <f>Yr_2</f>
        <v>45107</v>
      </c>
      <c r="S32" s="226">
        <f>Yr_3</f>
        <v>45473</v>
      </c>
      <c r="T32" s="226">
        <f>Yr_4</f>
        <v>45838</v>
      </c>
      <c r="U32" s="226">
        <f>Yr_5</f>
        <v>46203</v>
      </c>
      <c r="V32" s="301" t="str">
        <f>NReg_Period</f>
        <v>2022-26</v>
      </c>
      <c r="X32" s="226">
        <f>CP_Yr_4</f>
        <v>43800</v>
      </c>
      <c r="Y32" s="226">
        <f>CP_Yr_5</f>
        <v>44166</v>
      </c>
      <c r="Z32" s="226">
        <f>Stub</f>
        <v>44377</v>
      </c>
      <c r="AA32" s="339">
        <f>Yr_1</f>
        <v>44742</v>
      </c>
      <c r="AB32" s="226">
        <f>Yr_2</f>
        <v>45107</v>
      </c>
      <c r="AC32" s="226">
        <f>Yr_3</f>
        <v>45473</v>
      </c>
      <c r="AD32" s="226">
        <f>Yr_4</f>
        <v>45838</v>
      </c>
      <c r="AE32" s="226">
        <f>Yr_5</f>
        <v>46203</v>
      </c>
      <c r="AF32" s="413" t="str">
        <f>NReg_Period</f>
        <v>2022-26</v>
      </c>
    </row>
    <row r="33" spans="2:32" x14ac:dyDescent="0.3">
      <c r="C33" s="1" t="s">
        <v>44</v>
      </c>
      <c r="D33" s="158">
        <f t="shared" ref="D33:K36" si="2">SUMIFS(D$7:D$30,$C$7:$C$30,$C33)</f>
        <v>0</v>
      </c>
      <c r="E33" s="158">
        <f t="shared" si="2"/>
        <v>0</v>
      </c>
      <c r="F33" s="158">
        <f t="shared" si="2"/>
        <v>0</v>
      </c>
      <c r="G33" s="269">
        <f t="shared" si="2"/>
        <v>0</v>
      </c>
      <c r="H33" s="158">
        <f t="shared" si="2"/>
        <v>0</v>
      </c>
      <c r="I33" s="158">
        <f t="shared" si="2"/>
        <v>0</v>
      </c>
      <c r="J33" s="158">
        <f t="shared" si="2"/>
        <v>0</v>
      </c>
      <c r="K33" s="158">
        <f t="shared" si="2"/>
        <v>0</v>
      </c>
      <c r="L33" s="158">
        <f t="shared" ref="L33:L36" si="3">SUM(G33:K33)</f>
        <v>0</v>
      </c>
      <c r="N33" s="158">
        <v>0</v>
      </c>
      <c r="O33" s="158">
        <v>0</v>
      </c>
      <c r="P33" s="158">
        <f t="shared" ref="P33:U36" si="4">SUMIFS(P$7:P$30,$C$7:$C$30,$C33)</f>
        <v>0</v>
      </c>
      <c r="Q33" s="269">
        <f t="shared" si="4"/>
        <v>13765.936769393251</v>
      </c>
      <c r="R33" s="158">
        <f t="shared" si="4"/>
        <v>13810.240962927581</v>
      </c>
      <c r="S33" s="158">
        <f t="shared" si="4"/>
        <v>16084.995325378955</v>
      </c>
      <c r="T33" s="158">
        <f t="shared" si="4"/>
        <v>22839.011963907931</v>
      </c>
      <c r="U33" s="158">
        <f t="shared" si="4"/>
        <v>24871.618984844241</v>
      </c>
      <c r="V33" s="158">
        <f t="shared" ref="V33:V36" si="5">SUM(Q33:U33)</f>
        <v>91371.804006451959</v>
      </c>
      <c r="X33" s="158">
        <f t="shared" ref="X33:Y36" si="6">SUMIFS(X$7:X$30,$C$7:$C$30,$C33)</f>
        <v>0</v>
      </c>
      <c r="Y33" s="158">
        <f t="shared" si="6"/>
        <v>0</v>
      </c>
      <c r="Z33" s="539"/>
      <c r="AA33" s="538"/>
      <c r="AB33" s="539"/>
      <c r="AC33" s="539"/>
      <c r="AD33" s="539"/>
      <c r="AE33" s="539"/>
      <c r="AF33" s="539"/>
    </row>
    <row r="34" spans="2:32" x14ac:dyDescent="0.3">
      <c r="C34" s="1" t="s">
        <v>45</v>
      </c>
      <c r="D34" s="158">
        <f t="shared" si="2"/>
        <v>0</v>
      </c>
      <c r="E34" s="158">
        <f t="shared" si="2"/>
        <v>0</v>
      </c>
      <c r="F34" s="158">
        <f t="shared" si="2"/>
        <v>0</v>
      </c>
      <c r="G34" s="269">
        <f t="shared" si="2"/>
        <v>18091.41080163321</v>
      </c>
      <c r="H34" s="158">
        <f t="shared" si="2"/>
        <v>13416.662468830687</v>
      </c>
      <c r="I34" s="158">
        <f t="shared" si="2"/>
        <v>10909.895960846834</v>
      </c>
      <c r="J34" s="158">
        <f t="shared" si="2"/>
        <v>15648.643734410663</v>
      </c>
      <c r="K34" s="158">
        <f t="shared" si="2"/>
        <v>26309.882322499314</v>
      </c>
      <c r="L34" s="158">
        <f t="shared" si="3"/>
        <v>84376.4952882207</v>
      </c>
      <c r="N34" s="158">
        <v>0</v>
      </c>
      <c r="O34" s="158">
        <v>0</v>
      </c>
      <c r="P34" s="158">
        <f t="shared" si="4"/>
        <v>0</v>
      </c>
      <c r="Q34" s="269">
        <f t="shared" si="4"/>
        <v>5492.2919035196792</v>
      </c>
      <c r="R34" s="158">
        <f t="shared" si="4"/>
        <v>2500.1443053329622</v>
      </c>
      <c r="S34" s="158">
        <f t="shared" si="4"/>
        <v>0</v>
      </c>
      <c r="T34" s="158">
        <f t="shared" si="4"/>
        <v>0</v>
      </c>
      <c r="U34" s="158">
        <f t="shared" si="4"/>
        <v>0</v>
      </c>
      <c r="V34" s="158">
        <f t="shared" si="5"/>
        <v>7992.4362088526414</v>
      </c>
      <c r="X34" s="158">
        <f t="shared" si="6"/>
        <v>0</v>
      </c>
      <c r="Y34" s="158">
        <f t="shared" si="6"/>
        <v>0</v>
      </c>
      <c r="Z34" s="539"/>
      <c r="AA34" s="538"/>
      <c r="AB34" s="539"/>
      <c r="AC34" s="539"/>
      <c r="AD34" s="539"/>
      <c r="AE34" s="539"/>
      <c r="AF34" s="539"/>
    </row>
    <row r="35" spans="2:32" x14ac:dyDescent="0.3">
      <c r="C35" s="1" t="s">
        <v>48</v>
      </c>
      <c r="D35" s="275">
        <f t="shared" si="2"/>
        <v>0</v>
      </c>
      <c r="E35" s="275">
        <f t="shared" si="2"/>
        <v>0</v>
      </c>
      <c r="F35" s="275">
        <f t="shared" si="2"/>
        <v>0</v>
      </c>
      <c r="G35" s="269">
        <f t="shared" si="2"/>
        <v>96.623168117394329</v>
      </c>
      <c r="H35" s="275">
        <f t="shared" si="2"/>
        <v>39.425983672565422</v>
      </c>
      <c r="I35" s="275">
        <f t="shared" si="2"/>
        <v>0</v>
      </c>
      <c r="J35" s="275">
        <f t="shared" si="2"/>
        <v>0</v>
      </c>
      <c r="K35" s="275">
        <f t="shared" si="2"/>
        <v>0</v>
      </c>
      <c r="L35" s="275">
        <f t="shared" si="3"/>
        <v>136.04915178995975</v>
      </c>
      <c r="M35" s="41"/>
      <c r="N35" s="275">
        <v>0</v>
      </c>
      <c r="O35" s="275">
        <v>0</v>
      </c>
      <c r="P35" s="275">
        <f t="shared" si="4"/>
        <v>0</v>
      </c>
      <c r="Q35" s="269">
        <f t="shared" si="4"/>
        <v>5016.888319614678</v>
      </c>
      <c r="R35" s="275">
        <f t="shared" si="4"/>
        <v>3855.4459545851851</v>
      </c>
      <c r="S35" s="275">
        <f t="shared" si="4"/>
        <v>4335.913204826631</v>
      </c>
      <c r="T35" s="275">
        <f t="shared" si="4"/>
        <v>6231.0274820101813</v>
      </c>
      <c r="U35" s="275">
        <f t="shared" si="4"/>
        <v>6833.3329876915859</v>
      </c>
      <c r="V35" s="275">
        <f t="shared" si="5"/>
        <v>26272.607948728262</v>
      </c>
      <c r="W35" s="41"/>
      <c r="X35" s="275">
        <f t="shared" si="6"/>
        <v>0</v>
      </c>
      <c r="Y35" s="275">
        <f t="shared" si="6"/>
        <v>0</v>
      </c>
      <c r="Z35" s="542"/>
      <c r="AA35" s="538"/>
      <c r="AB35" s="542"/>
      <c r="AC35" s="542"/>
      <c r="AD35" s="542"/>
      <c r="AE35" s="542"/>
      <c r="AF35" s="542"/>
    </row>
    <row r="36" spans="2:32" x14ac:dyDescent="0.3">
      <c r="C36" s="1" t="s">
        <v>397</v>
      </c>
      <c r="D36" s="223">
        <f t="shared" si="2"/>
        <v>0</v>
      </c>
      <c r="E36" s="223">
        <f t="shared" si="2"/>
        <v>0</v>
      </c>
      <c r="F36" s="223">
        <f t="shared" si="2"/>
        <v>0</v>
      </c>
      <c r="G36" s="272">
        <f t="shared" si="2"/>
        <v>0</v>
      </c>
      <c r="H36" s="223">
        <f t="shared" si="2"/>
        <v>0</v>
      </c>
      <c r="I36" s="223">
        <f t="shared" si="2"/>
        <v>0</v>
      </c>
      <c r="J36" s="223">
        <f t="shared" si="2"/>
        <v>0</v>
      </c>
      <c r="K36" s="223">
        <f t="shared" si="2"/>
        <v>0</v>
      </c>
      <c r="L36" s="223">
        <f t="shared" si="3"/>
        <v>0</v>
      </c>
      <c r="N36" s="223">
        <v>0</v>
      </c>
      <c r="O36" s="223">
        <v>0</v>
      </c>
      <c r="P36" s="223">
        <f t="shared" si="4"/>
        <v>0</v>
      </c>
      <c r="Q36" s="272">
        <f t="shared" si="4"/>
        <v>0</v>
      </c>
      <c r="R36" s="223">
        <f t="shared" si="4"/>
        <v>332.7703982087433</v>
      </c>
      <c r="S36" s="223">
        <f t="shared" si="4"/>
        <v>602.76485238508349</v>
      </c>
      <c r="T36" s="223">
        <f t="shared" si="4"/>
        <v>875.50577424282051</v>
      </c>
      <c r="U36" s="223">
        <f t="shared" si="4"/>
        <v>949.9482012322087</v>
      </c>
      <c r="V36" s="223">
        <f t="shared" si="5"/>
        <v>2760.9892260688557</v>
      </c>
      <c r="X36" s="223">
        <f t="shared" si="6"/>
        <v>0</v>
      </c>
      <c r="Y36" s="223">
        <f t="shared" si="6"/>
        <v>0</v>
      </c>
      <c r="Z36" s="544"/>
      <c r="AA36" s="543"/>
      <c r="AB36" s="544"/>
      <c r="AC36" s="544"/>
      <c r="AD36" s="544"/>
      <c r="AE36" s="544"/>
      <c r="AF36" s="544"/>
    </row>
    <row r="37" spans="2:32" x14ac:dyDescent="0.3">
      <c r="C37" s="2" t="s">
        <v>486</v>
      </c>
      <c r="D37" s="159">
        <f>SUM(D33:D36)</f>
        <v>0</v>
      </c>
      <c r="E37" s="159">
        <f t="shared" ref="E37:L37" si="7">SUM(E33:E36)</f>
        <v>0</v>
      </c>
      <c r="F37" s="159">
        <f t="shared" si="7"/>
        <v>0</v>
      </c>
      <c r="G37" s="270">
        <f t="shared" si="7"/>
        <v>18188.033969750606</v>
      </c>
      <c r="H37" s="159">
        <f t="shared" si="7"/>
        <v>13456.088452503252</v>
      </c>
      <c r="I37" s="159">
        <f t="shared" si="7"/>
        <v>10909.895960846834</v>
      </c>
      <c r="J37" s="159">
        <f t="shared" si="7"/>
        <v>15648.643734410663</v>
      </c>
      <c r="K37" s="159">
        <f t="shared" si="7"/>
        <v>26309.882322499314</v>
      </c>
      <c r="L37" s="204">
        <f t="shared" si="7"/>
        <v>84512.544440010664</v>
      </c>
      <c r="N37" s="159">
        <v>0</v>
      </c>
      <c r="O37" s="159">
        <v>0</v>
      </c>
      <c r="P37" s="159">
        <f t="shared" ref="P37:V37" si="8">SUM(P33:P36)</f>
        <v>0</v>
      </c>
      <c r="Q37" s="270">
        <f t="shared" si="8"/>
        <v>24275.116992527608</v>
      </c>
      <c r="R37" s="159">
        <f t="shared" si="8"/>
        <v>20498.601621054473</v>
      </c>
      <c r="S37" s="159">
        <f t="shared" si="8"/>
        <v>21023.67338259067</v>
      </c>
      <c r="T37" s="159">
        <f t="shared" si="8"/>
        <v>29945.545220160933</v>
      </c>
      <c r="U37" s="159">
        <f t="shared" si="8"/>
        <v>32654.900173768034</v>
      </c>
      <c r="V37" s="204">
        <f t="shared" si="8"/>
        <v>128397.8373901017</v>
      </c>
      <c r="X37" s="159">
        <f t="shared" ref="X37:Y37" si="9">SUM(X33:X36)</f>
        <v>0</v>
      </c>
      <c r="Y37" s="159">
        <f t="shared" si="9"/>
        <v>0</v>
      </c>
      <c r="Z37" s="540"/>
      <c r="AA37" s="541"/>
      <c r="AB37" s="540"/>
      <c r="AC37" s="540"/>
      <c r="AD37" s="540"/>
      <c r="AE37" s="540"/>
      <c r="AF37" s="545"/>
    </row>
    <row r="38" spans="2:32" x14ac:dyDescent="0.3">
      <c r="AA38" s="38"/>
    </row>
    <row r="40" spans="2:32" x14ac:dyDescent="0.3">
      <c r="B40" s="2" t="s">
        <v>515</v>
      </c>
    </row>
    <row r="41" spans="2:32" x14ac:dyDescent="0.3">
      <c r="B41" s="251" t="s">
        <v>516</v>
      </c>
      <c r="D41" s="226">
        <f>CP_Yr_4</f>
        <v>43800</v>
      </c>
      <c r="E41" s="226">
        <f>CP_Yr_5</f>
        <v>44166</v>
      </c>
      <c r="F41" s="226">
        <f>Stub</f>
        <v>44377</v>
      </c>
      <c r="G41" s="339">
        <f>Yr_1</f>
        <v>44742</v>
      </c>
      <c r="H41" s="226">
        <f>Yr_2</f>
        <v>45107</v>
      </c>
      <c r="I41" s="226">
        <f>Yr_3</f>
        <v>45473</v>
      </c>
      <c r="J41" s="226">
        <f>Yr_4</f>
        <v>45838</v>
      </c>
      <c r="K41" s="226">
        <f>Yr_5</f>
        <v>46203</v>
      </c>
      <c r="L41" s="301" t="str">
        <f>NReg_Period</f>
        <v>2022-26</v>
      </c>
    </row>
    <row r="42" spans="2:32" x14ac:dyDescent="0.3">
      <c r="C42" s="55" t="s">
        <v>50</v>
      </c>
      <c r="D42" s="158">
        <f>Capex_by_Driver!D31</f>
        <v>0</v>
      </c>
      <c r="E42" s="158">
        <f>Capex_by_Driver!E31</f>
        <v>0</v>
      </c>
      <c r="F42" s="158">
        <f>Capex_by_Driver!F31</f>
        <v>0</v>
      </c>
      <c r="G42" s="269">
        <v>0</v>
      </c>
      <c r="H42" s="158">
        <v>0</v>
      </c>
      <c r="I42" s="158">
        <v>0</v>
      </c>
      <c r="J42" s="158">
        <v>0</v>
      </c>
      <c r="K42" s="158">
        <v>0</v>
      </c>
      <c r="L42" s="158">
        <f t="shared" ref="L42:L43" si="10">SUM(G42:K42)</f>
        <v>0</v>
      </c>
    </row>
    <row r="43" spans="2:32" x14ac:dyDescent="0.3">
      <c r="C43" s="1" t="s">
        <v>397</v>
      </c>
      <c r="D43" s="223">
        <f>Capex_by_Driver!D32</f>
        <v>0</v>
      </c>
      <c r="E43" s="223">
        <f>Capex_by_Driver!E32</f>
        <v>0</v>
      </c>
      <c r="F43" s="223">
        <f>Capex_by_Driver!F32</f>
        <v>0</v>
      </c>
      <c r="G43" s="272">
        <v>32.748425485238016</v>
      </c>
      <c r="H43" s="223">
        <v>13.342138977774445</v>
      </c>
      <c r="I43" s="223">
        <v>0</v>
      </c>
      <c r="J43" s="223">
        <v>0</v>
      </c>
      <c r="K43" s="223">
        <v>0</v>
      </c>
      <c r="L43" s="223">
        <f t="shared" si="10"/>
        <v>46.090564463012463</v>
      </c>
    </row>
    <row r="44" spans="2:32" x14ac:dyDescent="0.3">
      <c r="C44" s="1" t="s">
        <v>146</v>
      </c>
      <c r="D44" s="159">
        <f t="shared" ref="D44:K44" si="11">SUM(D42:D43)</f>
        <v>0</v>
      </c>
      <c r="E44" s="159">
        <f t="shared" si="11"/>
        <v>0</v>
      </c>
      <c r="F44" s="159">
        <f t="shared" si="11"/>
        <v>0</v>
      </c>
      <c r="G44" s="270">
        <f t="shared" si="11"/>
        <v>32.748425485238016</v>
      </c>
      <c r="H44" s="159">
        <f t="shared" si="11"/>
        <v>13.342138977774445</v>
      </c>
      <c r="I44" s="159">
        <f t="shared" si="11"/>
        <v>0</v>
      </c>
      <c r="J44" s="159">
        <f t="shared" si="11"/>
        <v>0</v>
      </c>
      <c r="K44" s="159">
        <f t="shared" si="11"/>
        <v>0</v>
      </c>
      <c r="L44" s="159">
        <f>SUM(L42:L43)</f>
        <v>46.090564463012463</v>
      </c>
    </row>
    <row r="45" spans="2:32" x14ac:dyDescent="0.3">
      <c r="B45" s="55"/>
    </row>
    <row r="46" spans="2:32" x14ac:dyDescent="0.3">
      <c r="B46" s="2" t="s">
        <v>675</v>
      </c>
    </row>
    <row r="47" spans="2:32" x14ac:dyDescent="0.3">
      <c r="B47" s="2"/>
      <c r="D47" s="226">
        <f>CP_Yr_4</f>
        <v>43800</v>
      </c>
      <c r="E47" s="226">
        <f>CP_Yr_5</f>
        <v>44166</v>
      </c>
      <c r="F47" s="226">
        <f>Stub</f>
        <v>44377</v>
      </c>
      <c r="G47" s="339">
        <f>Yr_1</f>
        <v>44742</v>
      </c>
      <c r="H47" s="226">
        <f>Yr_2</f>
        <v>45107</v>
      </c>
      <c r="I47" s="226">
        <f>Yr_3</f>
        <v>45473</v>
      </c>
      <c r="J47" s="226">
        <f>Yr_4</f>
        <v>45838</v>
      </c>
      <c r="K47" s="226">
        <f>Yr_5</f>
        <v>46203</v>
      </c>
      <c r="L47" s="413" t="str">
        <f>NReg_Period</f>
        <v>2022-26</v>
      </c>
    </row>
    <row r="48" spans="2:32" x14ac:dyDescent="0.3">
      <c r="C48" s="2" t="s">
        <v>608</v>
      </c>
      <c r="D48" s="159">
        <f t="shared" ref="D48:E48" si="12">D37+N37+D44</f>
        <v>0</v>
      </c>
      <c r="E48" s="159">
        <f t="shared" si="12"/>
        <v>0</v>
      </c>
      <c r="F48" s="159">
        <f>F37+P37+F44</f>
        <v>0</v>
      </c>
      <c r="G48" s="270">
        <f t="shared" ref="G48:K48" si="13">G37+Q37+G44</f>
        <v>42495.899387763457</v>
      </c>
      <c r="H48" s="159">
        <f t="shared" si="13"/>
        <v>33968.032212535494</v>
      </c>
      <c r="I48" s="159">
        <f t="shared" si="13"/>
        <v>31933.569343437506</v>
      </c>
      <c r="J48" s="159">
        <f t="shared" si="13"/>
        <v>45594.188954571597</v>
      </c>
      <c r="K48" s="159">
        <f t="shared" si="13"/>
        <v>58964.782496267348</v>
      </c>
      <c r="L48" s="204">
        <f t="shared" ref="L48" si="14">SUM(G48:K48)</f>
        <v>212956.47239457542</v>
      </c>
    </row>
    <row r="49" spans="3:12" x14ac:dyDescent="0.3">
      <c r="D49" s="1" t="b">
        <f>ROUND(D48,5)=ROUND(SUM(Capex_by_Driver!AH22,Capex_by_Driver!AH27),5)</f>
        <v>1</v>
      </c>
      <c r="E49" s="1" t="b">
        <f>ROUND(E48,5)=ROUND(SUM(Capex_by_Driver!AI22,Capex_by_Driver!AI27),5)</f>
        <v>1</v>
      </c>
      <c r="F49" s="1" t="b">
        <f>ROUND(F48,5)=ROUND(SUM(Capex_by_Driver!AJ22,Capex_by_Driver!AJ27),5)</f>
        <v>1</v>
      </c>
      <c r="G49" s="1" t="b">
        <f>ROUND(G48,5)=ROUND(SUM(Capex_by_Driver!AK22,Capex_by_Driver!AK27),5)</f>
        <v>1</v>
      </c>
      <c r="H49" s="1" t="b">
        <f>ROUND(H48,5)=ROUND(SUM(Capex_by_Driver!AL22,Capex_by_Driver!AL27),5)</f>
        <v>1</v>
      </c>
      <c r="I49" s="1" t="b">
        <f>ROUND(I48,5)=ROUND(SUM(Capex_by_Driver!AM22,Capex_by_Driver!AM27),5)</f>
        <v>1</v>
      </c>
      <c r="J49" s="1" t="b">
        <f>ROUND(J48,5)=ROUND(SUM(Capex_by_Driver!AN22,Capex_by_Driver!AN27),5)</f>
        <v>1</v>
      </c>
      <c r="K49" s="1" t="b">
        <f>ROUND(K48,5)=ROUND(SUM(Capex_by_Driver!AO22,Capex_by_Driver!AO27),5)</f>
        <v>1</v>
      </c>
      <c r="L49" s="1" t="b">
        <f>ROUND(L48,5)=ROUND(SUM(Capex_by_Driver!AP22,Capex_by_Driver!AP27),5)</f>
        <v>1</v>
      </c>
    </row>
    <row r="51" spans="3:12" x14ac:dyDescent="0.3">
      <c r="C51" s="2" t="s">
        <v>610</v>
      </c>
      <c r="D51" s="159">
        <f>D48*Escalators!$M$17</f>
        <v>0</v>
      </c>
      <c r="E51" s="159">
        <f>E48*Escalators!$M$17</f>
        <v>0</v>
      </c>
      <c r="F51" s="159">
        <f>F48*Escalators!$M$17</f>
        <v>0</v>
      </c>
      <c r="G51" s="159">
        <f>G48*Escalators!$M$17</f>
        <v>44951.218019056454</v>
      </c>
      <c r="H51" s="159">
        <f>H48*Escalators!$M$17</f>
        <v>35930.629629259762</v>
      </c>
      <c r="I51" s="159">
        <f>I48*Escalators!$M$17</f>
        <v>33778.620016613895</v>
      </c>
      <c r="J51" s="159">
        <f>J48*Escalators!$M$17</f>
        <v>48228.519871946839</v>
      </c>
      <c r="K51" s="159">
        <f>K48*Escalators!$M$17</f>
        <v>62371.636596051678</v>
      </c>
      <c r="L51" s="204">
        <f>L48*Escalators!$M$17</f>
        <v>225260.62413292864</v>
      </c>
    </row>
  </sheetData>
  <mergeCells count="6">
    <mergeCell ref="X3:AF3"/>
    <mergeCell ref="H1:I1"/>
    <mergeCell ref="D4:L4"/>
    <mergeCell ref="D3:L3"/>
    <mergeCell ref="N3:V3"/>
    <mergeCell ref="N4:V4"/>
  </mergeCells>
  <hyperlinks>
    <hyperlink ref="B2" location="Contents!A1" display="Table of Contents" xr:uid="{00000000-0004-0000-1C00-000000000000}"/>
  </hyperlinks>
  <pageMargins left="0.7" right="0.7" top="0.75" bottom="0.75" header="0.3" footer="0.3"/>
  <pageSetup paperSize="9" orientation="portrait" r:id="rId1"/>
  <ignoredErrors>
    <ignoredError sqref="L7:L30 V7:V30" formulaRange="1"/>
  </ignoredError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6"/>
  <dimension ref="B1:AC72"/>
  <sheetViews>
    <sheetView zoomScale="70" zoomScaleNormal="70" zoomScalePageLayoutView="125" workbookViewId="0">
      <selection activeCell="J20" sqref="J20"/>
    </sheetView>
  </sheetViews>
  <sheetFormatPr defaultColWidth="8.88671875" defaultRowHeight="14.4" outlineLevelCol="1" x14ac:dyDescent="0.3"/>
  <cols>
    <col min="1" max="1" width="4.44140625" style="1" customWidth="1"/>
    <col min="2" max="2" width="44" style="1" customWidth="1"/>
    <col min="3" max="6" width="10" style="1" hidden="1" customWidth="1" outlineLevel="1"/>
    <col min="7" max="7" width="9" style="1" hidden="1" customWidth="1" outlineLevel="1"/>
    <col min="8" max="8" width="11.109375" style="1" customWidth="1" collapsed="1"/>
    <col min="9" max="9" width="9.44140625" style="1" customWidth="1"/>
    <col min="10" max="10" width="10" style="1" customWidth="1"/>
    <col min="11" max="12" width="9.44140625" style="1" customWidth="1"/>
    <col min="13" max="13" width="8.5546875" style="1" customWidth="1"/>
    <col min="14" max="14" width="8.109375" style="1" bestFit="1" customWidth="1"/>
    <col min="15" max="15" width="8.88671875" style="1" customWidth="1"/>
    <col min="16" max="16" width="7.44140625" style="1" customWidth="1"/>
    <col min="17" max="17" width="5.33203125" style="1" customWidth="1"/>
    <col min="18" max="18" width="41.33203125" style="1" customWidth="1"/>
    <col min="19" max="20" width="9.5546875" style="1" customWidth="1"/>
    <col min="21" max="25" width="8.88671875" style="1"/>
    <col min="26" max="26" width="8.88671875" style="1" customWidth="1"/>
    <col min="27" max="16384" width="8.88671875" style="1"/>
  </cols>
  <sheetData>
    <row r="1" spans="2:29" ht="18" x14ac:dyDescent="0.35">
      <c r="B1" s="10" t="s">
        <v>751</v>
      </c>
      <c r="C1" s="10"/>
      <c r="D1" s="10"/>
      <c r="E1" s="10"/>
      <c r="F1" s="10"/>
      <c r="J1" s="596" t="s">
        <v>749</v>
      </c>
      <c r="K1" s="596"/>
    </row>
    <row r="2" spans="2:29" x14ac:dyDescent="0.3">
      <c r="B2" s="25" t="s">
        <v>6</v>
      </c>
      <c r="C2" s="25"/>
      <c r="D2" s="25"/>
      <c r="E2" s="25"/>
      <c r="F2" s="25"/>
    </row>
    <row r="3" spans="2:29" x14ac:dyDescent="0.3">
      <c r="I3" s="55"/>
    </row>
    <row r="4" spans="2:29" x14ac:dyDescent="0.3">
      <c r="H4" s="86"/>
    </row>
    <row r="5" spans="2:29" x14ac:dyDescent="0.3">
      <c r="B5" s="2" t="s">
        <v>304</v>
      </c>
      <c r="C5" s="36" t="s">
        <v>285</v>
      </c>
      <c r="D5" s="36" t="s">
        <v>285</v>
      </c>
      <c r="E5" s="36" t="s">
        <v>285</v>
      </c>
      <c r="F5" s="36" t="s">
        <v>285</v>
      </c>
      <c r="G5" s="36" t="s">
        <v>285</v>
      </c>
      <c r="H5" s="87" t="s">
        <v>285</v>
      </c>
      <c r="I5" s="326" t="s">
        <v>285</v>
      </c>
      <c r="J5" s="326" t="s">
        <v>285</v>
      </c>
      <c r="K5" s="326" t="s">
        <v>285</v>
      </c>
      <c r="L5" s="326" t="s">
        <v>285</v>
      </c>
      <c r="N5" s="402" t="s">
        <v>645</v>
      </c>
    </row>
    <row r="6" spans="2:29" x14ac:dyDescent="0.3">
      <c r="B6" s="1" t="s">
        <v>674</v>
      </c>
      <c r="C6" s="36">
        <v>2009</v>
      </c>
      <c r="D6" s="36">
        <v>2010</v>
      </c>
      <c r="E6" s="36">
        <v>2011</v>
      </c>
      <c r="F6" s="36">
        <v>2012</v>
      </c>
      <c r="G6" s="36">
        <v>2013</v>
      </c>
      <c r="H6" s="87">
        <v>2014</v>
      </c>
      <c r="I6" s="326">
        <v>2015</v>
      </c>
      <c r="J6" s="326">
        <v>2016</v>
      </c>
      <c r="K6" s="326">
        <v>2017</v>
      </c>
      <c r="L6" s="326">
        <v>2018</v>
      </c>
      <c r="N6" s="402" t="s">
        <v>646</v>
      </c>
      <c r="S6" s="326" t="s">
        <v>553</v>
      </c>
      <c r="T6" s="326" t="s">
        <v>553</v>
      </c>
      <c r="U6" s="326" t="s">
        <v>553</v>
      </c>
      <c r="V6" s="326" t="s">
        <v>554</v>
      </c>
      <c r="W6" s="326" t="s">
        <v>554</v>
      </c>
      <c r="X6" s="357" t="s">
        <v>554</v>
      </c>
      <c r="Y6" s="326" t="s">
        <v>554</v>
      </c>
      <c r="Z6" s="326" t="s">
        <v>554</v>
      </c>
      <c r="AA6" s="326" t="s">
        <v>554</v>
      </c>
      <c r="AB6" s="326" t="s">
        <v>554</v>
      </c>
      <c r="AC6" s="326" t="s">
        <v>554</v>
      </c>
    </row>
    <row r="7" spans="2:29" x14ac:dyDescent="0.3">
      <c r="B7" s="1" t="s">
        <v>673</v>
      </c>
      <c r="G7" s="36"/>
      <c r="H7" s="87"/>
      <c r="R7" s="358" t="s">
        <v>598</v>
      </c>
      <c r="S7" s="326" t="s">
        <v>550</v>
      </c>
      <c r="T7" s="326" t="s">
        <v>551</v>
      </c>
      <c r="U7" s="326" t="s">
        <v>552</v>
      </c>
      <c r="V7" s="326" t="s">
        <v>402</v>
      </c>
      <c r="W7" s="326" t="s">
        <v>403</v>
      </c>
      <c r="X7" s="357" t="s">
        <v>611</v>
      </c>
      <c r="Y7" s="326" t="s">
        <v>400</v>
      </c>
      <c r="Z7" s="357" t="s">
        <v>401</v>
      </c>
      <c r="AA7" s="357" t="s">
        <v>595</v>
      </c>
      <c r="AB7" s="357" t="s">
        <v>596</v>
      </c>
      <c r="AC7" s="357" t="s">
        <v>597</v>
      </c>
    </row>
    <row r="8" spans="2:29" x14ac:dyDescent="0.3">
      <c r="B8" s="1" t="s">
        <v>300</v>
      </c>
      <c r="C8" s="39">
        <v>22005.248581235435</v>
      </c>
      <c r="D8" s="39">
        <v>21207.955597916622</v>
      </c>
      <c r="E8" s="39">
        <v>19739.077062148237</v>
      </c>
      <c r="F8" s="39">
        <v>17634.586308452643</v>
      </c>
      <c r="G8" s="39">
        <v>23185.111005042723</v>
      </c>
      <c r="H8" s="50">
        <v>25600.483399212801</v>
      </c>
      <c r="I8" s="39">
        <v>30709.73281077436</v>
      </c>
      <c r="J8" s="39">
        <v>24464.225164879219</v>
      </c>
      <c r="K8" s="39">
        <v>29267.094922092616</v>
      </c>
      <c r="L8" s="39">
        <v>30691.961257964911</v>
      </c>
      <c r="N8" s="39">
        <f>AVERAGE(J8:L8)</f>
        <v>28141.093781645584</v>
      </c>
      <c r="O8" s="108">
        <f>N8/$N$10</f>
        <v>0.84075791937259714</v>
      </c>
      <c r="R8" s="79" t="s">
        <v>677</v>
      </c>
      <c r="S8" s="289">
        <f>J10/Thousands*Escalators!K$16*(1+Escalators!$P$12)</f>
        <v>34.247584520930246</v>
      </c>
      <c r="T8" s="289">
        <f>K10/Thousands*Escalators!L$16*(1+Escalators!$P$12)</f>
        <v>37.929734302340535</v>
      </c>
      <c r="U8" s="289">
        <f>L10/Thousands*Escalators!M$16*(1+Escalators!$P$12)</f>
        <v>35.747171408232987</v>
      </c>
      <c r="V8" s="370">
        <f>H17/Thousands*Escalators!$Q$14</f>
        <v>32.730420912295308</v>
      </c>
      <c r="W8" s="285">
        <f>I17/Thousands*Escalators!$Q$14</f>
        <v>30.7271723242017</v>
      </c>
      <c r="X8" s="285">
        <f>J17/Thousands*Escalators!$Q$14</f>
        <v>15.092491611615886</v>
      </c>
      <c r="Y8" s="285">
        <f>K17/Thousands*Escalators!$Q$14</f>
        <v>29.831449975550775</v>
      </c>
      <c r="Z8" s="285">
        <f>L17/Thousands*Escalators!$Q$14</f>
        <v>29.325064710845172</v>
      </c>
      <c r="AA8" s="285">
        <f>M17/Thousands*Escalators!$Q$14</f>
        <v>29.325064710845172</v>
      </c>
      <c r="AB8" s="285">
        <f>N17/Thousands*Escalators!$Q$14</f>
        <v>29.325064710845172</v>
      </c>
      <c r="AC8" s="285">
        <f>O17/Thousands*Escalators!$Q$14</f>
        <v>29.325064710845172</v>
      </c>
    </row>
    <row r="9" spans="2:29" x14ac:dyDescent="0.3">
      <c r="B9" s="1" t="s">
        <v>301</v>
      </c>
      <c r="C9" s="40">
        <v>7800.823087035651</v>
      </c>
      <c r="D9" s="40">
        <v>9012.2092141115409</v>
      </c>
      <c r="E9" s="40">
        <v>11214.876283642518</v>
      </c>
      <c r="F9" s="40">
        <v>14659.791965299493</v>
      </c>
      <c r="G9" s="40">
        <v>7936.3113489698062</v>
      </c>
      <c r="H9" s="40">
        <v>8817.2221277890894</v>
      </c>
      <c r="I9" s="40">
        <v>11983.594543508281</v>
      </c>
      <c r="J9" s="40">
        <v>6976.7748351207802</v>
      </c>
      <c r="K9" s="40">
        <v>5910.6152066409077</v>
      </c>
      <c r="L9" s="40">
        <v>3102.6335607427327</v>
      </c>
      <c r="N9" s="40">
        <f>AVERAGE(J9:L9)</f>
        <v>5330.0078675014738</v>
      </c>
      <c r="O9" s="108">
        <f>N9/$N$10</f>
        <v>0.15924208062740289</v>
      </c>
    </row>
    <row r="10" spans="2:29" x14ac:dyDescent="0.3">
      <c r="B10" s="57" t="s">
        <v>146</v>
      </c>
      <c r="C10" s="39">
        <f t="shared" ref="C10" si="0">SUM(C8:C9)</f>
        <v>29806.071668271084</v>
      </c>
      <c r="D10" s="39">
        <f t="shared" ref="D10" si="1">SUM(D8:D9)</f>
        <v>30220.164812028161</v>
      </c>
      <c r="E10" s="39">
        <f t="shared" ref="E10" si="2">SUM(E8:E9)</f>
        <v>30953.953345790753</v>
      </c>
      <c r="F10" s="39">
        <f t="shared" ref="F10" si="3">SUM(F8:F9)</f>
        <v>32294.378273752136</v>
      </c>
      <c r="G10" s="39">
        <f>SUM(G8:G9)</f>
        <v>31121.422354012531</v>
      </c>
      <c r="H10" s="50">
        <f>SUM(H8:H9)</f>
        <v>34417.70552700189</v>
      </c>
      <c r="I10" s="39">
        <f t="shared" ref="I10:N10" si="4">SUM(I8:I9)</f>
        <v>42693.327354282643</v>
      </c>
      <c r="J10" s="39">
        <f t="shared" si="4"/>
        <v>31441</v>
      </c>
      <c r="K10" s="39">
        <f t="shared" si="4"/>
        <v>35177.710128733524</v>
      </c>
      <c r="L10" s="39">
        <f t="shared" si="4"/>
        <v>33794.594818707643</v>
      </c>
      <c r="N10" s="39">
        <f t="shared" si="4"/>
        <v>33471.101649147058</v>
      </c>
      <c r="R10" s="79"/>
      <c r="S10" s="413"/>
      <c r="T10" s="413"/>
      <c r="U10" s="413"/>
      <c r="V10" s="413"/>
      <c r="W10" s="413"/>
      <c r="X10" s="413"/>
      <c r="Y10" s="413"/>
      <c r="Z10" s="413"/>
      <c r="AA10" s="413"/>
      <c r="AB10" s="413"/>
      <c r="AC10" s="413"/>
    </row>
    <row r="11" spans="2:29" x14ac:dyDescent="0.3">
      <c r="B11" s="24" t="s">
        <v>672</v>
      </c>
      <c r="D11" s="39"/>
      <c r="E11" s="39"/>
      <c r="F11" s="39"/>
      <c r="G11" s="50"/>
      <c r="H11" s="327"/>
      <c r="I11" s="50"/>
      <c r="J11" s="50"/>
      <c r="K11" s="39"/>
      <c r="R11" s="79"/>
      <c r="S11" s="285"/>
      <c r="T11" s="285"/>
      <c r="U11" s="285"/>
      <c r="V11" s="285"/>
      <c r="W11" s="285"/>
      <c r="X11" s="285"/>
      <c r="Y11" s="285"/>
      <c r="Z11" s="285"/>
      <c r="AA11" s="285"/>
      <c r="AB11" s="285"/>
      <c r="AC11" s="285"/>
    </row>
    <row r="12" spans="2:29" x14ac:dyDescent="0.3">
      <c r="C12" s="39"/>
      <c r="D12" s="39"/>
      <c r="E12" s="39"/>
      <c r="F12" s="39"/>
      <c r="G12" s="50"/>
      <c r="H12" s="50"/>
      <c r="I12" s="50"/>
      <c r="J12" s="50"/>
      <c r="K12" s="39"/>
      <c r="R12" s="79"/>
      <c r="S12" s="285"/>
      <c r="T12" s="285"/>
      <c r="U12" s="285"/>
      <c r="V12" s="285"/>
      <c r="W12" s="285"/>
      <c r="X12" s="285"/>
      <c r="Y12" s="285"/>
      <c r="Z12" s="285"/>
      <c r="AA12" s="285"/>
      <c r="AB12" s="285"/>
      <c r="AC12" s="285"/>
    </row>
    <row r="13" spans="2:29" x14ac:dyDescent="0.3">
      <c r="B13" s="2" t="s">
        <v>686</v>
      </c>
      <c r="C13" s="50"/>
      <c r="D13" s="50"/>
      <c r="E13" s="50"/>
      <c r="F13" s="50"/>
      <c r="G13" s="50"/>
      <c r="H13" s="50"/>
      <c r="J13" s="413" t="s">
        <v>642</v>
      </c>
      <c r="K13" s="39"/>
      <c r="V13" s="278"/>
      <c r="W13" s="278"/>
      <c r="X13" s="278"/>
      <c r="Y13" s="278"/>
      <c r="Z13" s="278"/>
      <c r="AA13" s="278"/>
      <c r="AB13" s="278"/>
      <c r="AC13" s="278"/>
    </row>
    <row r="14" spans="2:29" x14ac:dyDescent="0.3">
      <c r="B14" s="185" t="s">
        <v>558</v>
      </c>
      <c r="C14" s="50"/>
      <c r="D14" s="50"/>
      <c r="E14" s="50"/>
      <c r="F14" s="50"/>
      <c r="G14" s="50"/>
      <c r="H14" s="413" t="s">
        <v>402</v>
      </c>
      <c r="I14" s="413" t="s">
        <v>403</v>
      </c>
      <c r="J14" s="226">
        <f>Stub</f>
        <v>44377</v>
      </c>
      <c r="K14" s="226">
        <f>Yr_1</f>
        <v>44742</v>
      </c>
      <c r="L14" s="226">
        <f>Yr_2</f>
        <v>45107</v>
      </c>
      <c r="M14" s="226">
        <f>Yr_3</f>
        <v>45473</v>
      </c>
      <c r="N14" s="226">
        <f>Yr_4</f>
        <v>45838</v>
      </c>
      <c r="O14" s="226">
        <f>Yr_5</f>
        <v>46203</v>
      </c>
    </row>
    <row r="15" spans="2:29" x14ac:dyDescent="0.3">
      <c r="B15" s="1" t="s">
        <v>283</v>
      </c>
      <c r="C15" s="50"/>
      <c r="D15" s="50"/>
      <c r="E15" s="50"/>
      <c r="F15" s="50"/>
      <c r="G15" s="50"/>
      <c r="H15" s="159">
        <v>28157.788578959935</v>
      </c>
      <c r="I15" s="159">
        <v>26434.405602438226</v>
      </c>
      <c r="J15" s="159">
        <v>12983.981754110724</v>
      </c>
      <c r="K15" s="159">
        <v>25663.820934848824</v>
      </c>
      <c r="L15" s="159">
        <v>25228.180670359448</v>
      </c>
      <c r="M15" s="159">
        <v>25228.180670359448</v>
      </c>
      <c r="N15" s="159">
        <v>25228.180670359448</v>
      </c>
      <c r="O15" s="159">
        <v>25228.180670359448</v>
      </c>
    </row>
    <row r="16" spans="2:29" x14ac:dyDescent="0.3">
      <c r="B16" s="1" t="s">
        <v>284</v>
      </c>
      <c r="C16" s="50"/>
      <c r="D16" s="50"/>
      <c r="E16" s="50"/>
      <c r="F16" s="50"/>
      <c r="G16" s="50"/>
      <c r="H16" s="273">
        <v>2784.8362330839495</v>
      </c>
      <c r="I16" s="273">
        <v>2614.3917628785057</v>
      </c>
      <c r="J16" s="273">
        <v>1284.1300635933683</v>
      </c>
      <c r="K16" s="273">
        <v>2538.1800924575759</v>
      </c>
      <c r="L16" s="273">
        <v>2495.0947915740117</v>
      </c>
      <c r="M16" s="273">
        <v>2495.0947915740117</v>
      </c>
      <c r="N16" s="273">
        <v>2495.0947915740117</v>
      </c>
      <c r="O16" s="273">
        <v>2495.0947915740117</v>
      </c>
    </row>
    <row r="17" spans="2:15" x14ac:dyDescent="0.3">
      <c r="B17" s="1" t="s">
        <v>146</v>
      </c>
      <c r="C17" s="50"/>
      <c r="D17" s="50"/>
      <c r="E17" s="50"/>
      <c r="F17" s="50"/>
      <c r="G17" s="50"/>
      <c r="H17" s="159">
        <f t="shared" ref="H17:O17" si="5">SUM(H15:H16)</f>
        <v>30942.624812043883</v>
      </c>
      <c r="I17" s="159">
        <f t="shared" si="5"/>
        <v>29048.797365316732</v>
      </c>
      <c r="J17" s="159">
        <f t="shared" si="5"/>
        <v>14268.111817704092</v>
      </c>
      <c r="K17" s="159">
        <f t="shared" si="5"/>
        <v>28202.0010273064</v>
      </c>
      <c r="L17" s="159">
        <f t="shared" si="5"/>
        <v>27723.275461933459</v>
      </c>
      <c r="M17" s="159">
        <f t="shared" si="5"/>
        <v>27723.275461933459</v>
      </c>
      <c r="N17" s="159">
        <f t="shared" si="5"/>
        <v>27723.275461933459</v>
      </c>
      <c r="O17" s="159">
        <f t="shared" si="5"/>
        <v>27723.275461933459</v>
      </c>
    </row>
    <row r="18" spans="2:15" ht="15" thickBot="1" x14ac:dyDescent="0.35">
      <c r="C18" s="50"/>
      <c r="D18" s="50"/>
      <c r="E18" s="50"/>
      <c r="F18" s="50"/>
      <c r="G18" s="50"/>
    </row>
    <row r="19" spans="2:15" x14ac:dyDescent="0.3">
      <c r="B19" s="426" t="s">
        <v>509</v>
      </c>
      <c r="C19" s="50"/>
      <c r="D19" s="50"/>
      <c r="E19" s="50"/>
      <c r="F19" s="50"/>
      <c r="G19" s="50"/>
      <c r="H19" s="293" t="s">
        <v>402</v>
      </c>
      <c r="I19" s="293" t="s">
        <v>403</v>
      </c>
      <c r="J19" s="348">
        <v>44377</v>
      </c>
      <c r="K19" s="348">
        <f>Yr_1</f>
        <v>44742</v>
      </c>
      <c r="L19" s="348">
        <f>Yr_2</f>
        <v>45107</v>
      </c>
      <c r="M19" s="348">
        <f>Yr_3</f>
        <v>45473</v>
      </c>
      <c r="N19" s="348">
        <f>Yr_4</f>
        <v>45838</v>
      </c>
      <c r="O19" s="349">
        <f>Yr_5</f>
        <v>46203</v>
      </c>
    </row>
    <row r="20" spans="2:15" x14ac:dyDescent="0.3">
      <c r="B20" s="294" t="s">
        <v>458</v>
      </c>
      <c r="C20" s="24"/>
      <c r="D20" s="39"/>
      <c r="E20" s="39"/>
      <c r="F20" s="39"/>
      <c r="G20" s="39"/>
      <c r="H20" s="295">
        <v>9.9295723257081719E-2</v>
      </c>
      <c r="I20" s="295">
        <v>8.239173522055486E-2</v>
      </c>
      <c r="J20" s="295">
        <v>8.6577691980272667E-2</v>
      </c>
      <c r="K20" s="295">
        <v>0.10687170274342839</v>
      </c>
      <c r="L20" s="295">
        <v>0.10568104433919924</v>
      </c>
      <c r="M20" s="295">
        <v>0.1086089072674481</v>
      </c>
      <c r="N20" s="295">
        <v>0.11341589312127581</v>
      </c>
      <c r="O20" s="296">
        <v>0.11628286706478763</v>
      </c>
    </row>
    <row r="21" spans="2:15" x14ac:dyDescent="0.3">
      <c r="B21" s="294" t="s">
        <v>32</v>
      </c>
      <c r="C21" s="36"/>
      <c r="D21" s="36"/>
      <c r="E21" s="36"/>
      <c r="F21" s="36"/>
      <c r="G21" s="36"/>
      <c r="H21" s="295">
        <v>8.6801992303514569E-2</v>
      </c>
      <c r="I21" s="295">
        <v>7.3470553152249596E-2</v>
      </c>
      <c r="J21" s="295">
        <v>7.6341844881098742E-2</v>
      </c>
      <c r="K21" s="295">
        <v>9.0829100871193932E-2</v>
      </c>
      <c r="L21" s="295">
        <v>8.9676989837221249E-2</v>
      </c>
      <c r="M21" s="295">
        <v>9.1570818376587634E-2</v>
      </c>
      <c r="N21" s="295">
        <v>9.444251048267592E-2</v>
      </c>
      <c r="O21" s="296">
        <v>9.6000506733158214E-2</v>
      </c>
    </row>
    <row r="22" spans="2:15" ht="15" thickBot="1" x14ac:dyDescent="0.35">
      <c r="B22" s="297" t="s">
        <v>284</v>
      </c>
      <c r="C22" s="36"/>
      <c r="D22" s="36"/>
      <c r="E22" s="36"/>
      <c r="F22" s="36"/>
      <c r="G22" s="36"/>
      <c r="H22" s="412">
        <v>4.8869562961132484E-2</v>
      </c>
      <c r="I22" s="298">
        <v>4.4606846212935897E-2</v>
      </c>
      <c r="J22" s="412">
        <v>5.9471621997677276E-2</v>
      </c>
      <c r="K22" s="298">
        <v>5.9090722646674483E-2</v>
      </c>
      <c r="L22" s="298">
        <v>8.3319975879096994E-2</v>
      </c>
      <c r="M22" s="298">
        <v>7.2816150640969732E-2</v>
      </c>
      <c r="N22" s="298">
        <v>9.5845572046522234E-2</v>
      </c>
      <c r="O22" s="299">
        <v>9.7920172931409991E-2</v>
      </c>
    </row>
    <row r="23" spans="2:15" x14ac:dyDescent="0.3">
      <c r="C23" s="85"/>
      <c r="D23" s="85"/>
      <c r="E23" s="85"/>
      <c r="F23" s="85"/>
      <c r="G23" s="85"/>
    </row>
    <row r="24" spans="2:15" x14ac:dyDescent="0.3">
      <c r="B24" s="2" t="s">
        <v>512</v>
      </c>
      <c r="C24" s="85"/>
      <c r="D24" s="85"/>
      <c r="E24" s="85"/>
      <c r="F24" s="85"/>
      <c r="G24" s="85"/>
      <c r="J24" s="402" t="s">
        <v>642</v>
      </c>
    </row>
    <row r="25" spans="2:15" x14ac:dyDescent="0.3">
      <c r="B25" s="1" t="s">
        <v>558</v>
      </c>
      <c r="C25" s="85"/>
      <c r="D25" s="85"/>
      <c r="E25" s="85"/>
      <c r="F25" s="85"/>
      <c r="G25" s="85"/>
      <c r="H25" s="301" t="s">
        <v>402</v>
      </c>
      <c r="I25" s="301" t="s">
        <v>403</v>
      </c>
      <c r="J25" s="350">
        <f>J19</f>
        <v>44377</v>
      </c>
      <c r="K25" s="226">
        <f>Yr_1</f>
        <v>44742</v>
      </c>
      <c r="L25" s="226">
        <f>Yr_2</f>
        <v>45107</v>
      </c>
      <c r="M25" s="226">
        <f>Yr_3</f>
        <v>45473</v>
      </c>
      <c r="N25" s="226">
        <f>Yr_4</f>
        <v>45838</v>
      </c>
      <c r="O25" s="226">
        <f>Yr_5</f>
        <v>46203</v>
      </c>
    </row>
    <row r="26" spans="2:15" x14ac:dyDescent="0.3">
      <c r="B26" s="39" t="s">
        <v>300</v>
      </c>
      <c r="C26" s="85"/>
      <c r="D26" s="85"/>
      <c r="E26" s="85"/>
      <c r="F26" s="85"/>
      <c r="G26" s="85"/>
      <c r="H26" s="158">
        <f t="shared" ref="H26:O27" si="6">$O8*H$17</f>
        <v>26015.256856900916</v>
      </c>
      <c r="I26" s="158">
        <f t="shared" si="6"/>
        <v>24423.006433139875</v>
      </c>
      <c r="J26" s="351">
        <f t="shared" si="6"/>
        <v>11996.028005228458</v>
      </c>
      <c r="K26" s="158">
        <f t="shared" si="6"/>
        <v>23711.055705861974</v>
      </c>
      <c r="L26" s="158">
        <f t="shared" si="6"/>
        <v>23308.563395568552</v>
      </c>
      <c r="M26" s="158">
        <f t="shared" si="6"/>
        <v>23308.563395568552</v>
      </c>
      <c r="N26" s="158">
        <f t="shared" si="6"/>
        <v>23308.563395568552</v>
      </c>
      <c r="O26" s="158">
        <f t="shared" si="6"/>
        <v>23308.563395568552</v>
      </c>
    </row>
    <row r="27" spans="2:15" x14ac:dyDescent="0.3">
      <c r="B27" s="39" t="s">
        <v>301</v>
      </c>
      <c r="C27" s="88"/>
      <c r="D27" s="88"/>
      <c r="E27" s="88"/>
      <c r="F27" s="88"/>
      <c r="G27" s="88"/>
      <c r="H27" s="223">
        <f t="shared" si="6"/>
        <v>4927.3679551429695</v>
      </c>
      <c r="I27" s="223">
        <f t="shared" si="6"/>
        <v>4625.7909321768557</v>
      </c>
      <c r="J27" s="352">
        <f t="shared" si="6"/>
        <v>2272.0838124756351</v>
      </c>
      <c r="K27" s="223">
        <f t="shared" si="6"/>
        <v>4490.9453214444247</v>
      </c>
      <c r="L27" s="223">
        <f t="shared" si="6"/>
        <v>4414.7120663649075</v>
      </c>
      <c r="M27" s="223">
        <f t="shared" si="6"/>
        <v>4414.7120663649075</v>
      </c>
      <c r="N27" s="223">
        <f t="shared" si="6"/>
        <v>4414.7120663649075</v>
      </c>
      <c r="O27" s="223">
        <f t="shared" si="6"/>
        <v>4414.7120663649075</v>
      </c>
    </row>
    <row r="28" spans="2:15" x14ac:dyDescent="0.3">
      <c r="B28" s="39" t="s">
        <v>146</v>
      </c>
      <c r="C28" s="102"/>
      <c r="D28" s="102"/>
      <c r="E28" s="102"/>
      <c r="F28" s="102"/>
      <c r="G28" s="102"/>
      <c r="H28" s="159">
        <f>SUM(H26:H27)</f>
        <v>30942.624812043887</v>
      </c>
      <c r="I28" s="159">
        <f t="shared" ref="I28:O28" si="7">SUM(I26:I27)</f>
        <v>29048.797365316732</v>
      </c>
      <c r="J28" s="351">
        <f t="shared" ref="J28" si="8">SUM(J26:J27)</f>
        <v>14268.111817704093</v>
      </c>
      <c r="K28" s="159">
        <f t="shared" si="7"/>
        <v>28202.0010273064</v>
      </c>
      <c r="L28" s="159">
        <f t="shared" si="7"/>
        <v>27723.275461933459</v>
      </c>
      <c r="M28" s="159">
        <f t="shared" si="7"/>
        <v>27723.275461933459</v>
      </c>
      <c r="N28" s="159">
        <f t="shared" si="7"/>
        <v>27723.275461933459</v>
      </c>
      <c r="O28" s="159">
        <f t="shared" si="7"/>
        <v>27723.275461933459</v>
      </c>
    </row>
    <row r="29" spans="2:15" x14ac:dyDescent="0.3">
      <c r="B29" s="39"/>
      <c r="C29" s="102"/>
      <c r="D29" s="102"/>
      <c r="E29" s="102"/>
      <c r="F29" s="102"/>
      <c r="G29" s="102"/>
      <c r="H29" s="159"/>
      <c r="I29" s="159"/>
      <c r="J29" s="159"/>
      <c r="K29" s="159"/>
      <c r="L29" s="159"/>
      <c r="M29" s="159"/>
      <c r="N29" s="159"/>
      <c r="O29" s="159"/>
    </row>
    <row r="30" spans="2:15" x14ac:dyDescent="0.3">
      <c r="B30" s="51" t="s">
        <v>647</v>
      </c>
      <c r="C30" s="87"/>
      <c r="D30" s="87"/>
      <c r="E30" s="87"/>
      <c r="F30" s="87"/>
      <c r="G30" s="87"/>
    </row>
    <row r="31" spans="2:15" x14ac:dyDescent="0.3">
      <c r="B31" s="1" t="s">
        <v>558</v>
      </c>
      <c r="C31" s="87"/>
      <c r="D31" s="87"/>
      <c r="E31" s="87"/>
      <c r="F31" s="87"/>
      <c r="G31" s="87"/>
      <c r="I31" s="387" t="s">
        <v>626</v>
      </c>
      <c r="J31" s="387" t="s">
        <v>620</v>
      </c>
      <c r="K31" s="226">
        <f>Yr_1</f>
        <v>44742</v>
      </c>
      <c r="L31" s="226">
        <f>Yr_2</f>
        <v>45107</v>
      </c>
      <c r="M31" s="226">
        <f>Yr_3</f>
        <v>45473</v>
      </c>
      <c r="N31" s="226">
        <f>Yr_4</f>
        <v>45838</v>
      </c>
      <c r="O31" s="226">
        <f>Yr_5</f>
        <v>46203</v>
      </c>
    </row>
    <row r="32" spans="2:15" x14ac:dyDescent="0.3">
      <c r="B32" s="1" t="s">
        <v>300</v>
      </c>
      <c r="C32" s="41"/>
      <c r="D32" s="41"/>
      <c r="E32" s="41"/>
      <c r="F32" s="41"/>
      <c r="G32" s="87"/>
      <c r="I32" s="159">
        <f>0.5*I26+0.5*H26</f>
        <v>25219.131645020396</v>
      </c>
      <c r="J32" s="159">
        <f>J26+0.5*I26</f>
        <v>24207.531221798396</v>
      </c>
      <c r="K32" s="159">
        <f t="shared" ref="K32:O33" si="9">K26</f>
        <v>23711.055705861974</v>
      </c>
      <c r="L32" s="159">
        <f t="shared" si="9"/>
        <v>23308.563395568552</v>
      </c>
      <c r="M32" s="159">
        <f t="shared" si="9"/>
        <v>23308.563395568552</v>
      </c>
      <c r="N32" s="159">
        <f t="shared" si="9"/>
        <v>23308.563395568552</v>
      </c>
      <c r="O32" s="159">
        <f t="shared" si="9"/>
        <v>23308.563395568552</v>
      </c>
    </row>
    <row r="33" spans="2:15" x14ac:dyDescent="0.3">
      <c r="B33" s="1" t="s">
        <v>301</v>
      </c>
      <c r="C33" s="50"/>
      <c r="D33" s="50"/>
      <c r="E33" s="50"/>
      <c r="F33" s="50"/>
      <c r="G33" s="50"/>
      <c r="I33" s="273">
        <f>0.5*I27+0.5*H27</f>
        <v>4776.5794436599126</v>
      </c>
      <c r="J33" s="273">
        <f>J27+0.5*I27</f>
        <v>4584.979278564063</v>
      </c>
      <c r="K33" s="273">
        <f t="shared" si="9"/>
        <v>4490.9453214444247</v>
      </c>
      <c r="L33" s="273">
        <f t="shared" si="9"/>
        <v>4414.7120663649075</v>
      </c>
      <c r="M33" s="273">
        <f t="shared" si="9"/>
        <v>4414.7120663649075</v>
      </c>
      <c r="N33" s="273">
        <f t="shared" si="9"/>
        <v>4414.7120663649075</v>
      </c>
      <c r="O33" s="273">
        <f t="shared" si="9"/>
        <v>4414.7120663649075</v>
      </c>
    </row>
    <row r="34" spans="2:15" x14ac:dyDescent="0.3">
      <c r="B34" s="1" t="s">
        <v>146</v>
      </c>
      <c r="C34" s="50"/>
      <c r="D34" s="50"/>
      <c r="E34" s="50"/>
      <c r="F34" s="50"/>
      <c r="G34" s="50"/>
      <c r="I34" s="159">
        <f>SUM(I32:I33)</f>
        <v>29995.711088680309</v>
      </c>
      <c r="J34" s="159">
        <f t="shared" ref="J34:O34" si="10">SUM(J32:J33)</f>
        <v>28792.510500362459</v>
      </c>
      <c r="K34" s="159">
        <f t="shared" si="10"/>
        <v>28202.0010273064</v>
      </c>
      <c r="L34" s="159">
        <f t="shared" si="10"/>
        <v>27723.275461933459</v>
      </c>
      <c r="M34" s="159">
        <f t="shared" si="10"/>
        <v>27723.275461933459</v>
      </c>
      <c r="N34" s="159">
        <f t="shared" si="10"/>
        <v>27723.275461933459</v>
      </c>
      <c r="O34" s="159">
        <f t="shared" si="10"/>
        <v>27723.275461933459</v>
      </c>
    </row>
    <row r="35" spans="2:15" x14ac:dyDescent="0.3">
      <c r="B35" s="2"/>
      <c r="C35" s="50"/>
      <c r="D35" s="50"/>
      <c r="E35" s="50"/>
      <c r="F35" s="50"/>
      <c r="G35" s="50"/>
      <c r="H35" s="50"/>
      <c r="I35" s="50"/>
      <c r="J35" s="50"/>
      <c r="K35" s="50"/>
      <c r="L35" s="50"/>
      <c r="M35" s="50"/>
      <c r="N35" s="50"/>
    </row>
    <row r="36" spans="2:15" s="429" customFormat="1" x14ac:dyDescent="0.3">
      <c r="B36" s="427"/>
      <c r="C36" s="428"/>
      <c r="D36" s="428"/>
      <c r="E36" s="428"/>
      <c r="F36" s="428"/>
      <c r="G36" s="428"/>
      <c r="H36" s="428"/>
      <c r="I36" s="428"/>
      <c r="J36" s="428"/>
      <c r="K36" s="428"/>
      <c r="L36" s="428"/>
      <c r="M36" s="428"/>
      <c r="N36" s="428"/>
    </row>
    <row r="37" spans="2:15" x14ac:dyDescent="0.3">
      <c r="B37" s="2" t="s">
        <v>680</v>
      </c>
      <c r="C37" s="50"/>
      <c r="D37" s="50"/>
      <c r="E37" s="50"/>
      <c r="F37" s="50"/>
      <c r="G37" s="50"/>
      <c r="H37" s="50"/>
      <c r="I37" s="50"/>
      <c r="J37" s="50"/>
      <c r="K37" s="50"/>
      <c r="L37" s="50"/>
      <c r="M37" s="50"/>
      <c r="N37" s="50"/>
    </row>
    <row r="38" spans="2:15" x14ac:dyDescent="0.3">
      <c r="B38" s="2"/>
      <c r="C38" s="50"/>
      <c r="D38" s="50"/>
      <c r="E38" s="50"/>
      <c r="F38" s="50"/>
      <c r="G38" s="50"/>
      <c r="H38" s="50"/>
      <c r="I38" s="50"/>
      <c r="J38" s="50"/>
      <c r="K38" s="50"/>
      <c r="L38" s="50"/>
      <c r="M38" s="50"/>
      <c r="N38" s="50"/>
    </row>
    <row r="39" spans="2:15" x14ac:dyDescent="0.3">
      <c r="B39" s="251" t="s">
        <v>459</v>
      </c>
      <c r="C39" s="41"/>
      <c r="D39" s="41"/>
      <c r="E39" s="41"/>
      <c r="F39" s="41"/>
      <c r="G39" s="50"/>
      <c r="H39" s="50"/>
      <c r="I39" s="50"/>
      <c r="J39" s="50"/>
      <c r="K39" s="50"/>
      <c r="L39" s="50"/>
      <c r="M39" s="50"/>
      <c r="N39" s="50"/>
      <c r="O39" s="39"/>
    </row>
    <row r="40" spans="2:15" x14ac:dyDescent="0.3">
      <c r="B40" s="1" t="s">
        <v>457</v>
      </c>
      <c r="C40" s="41"/>
      <c r="D40" s="41"/>
      <c r="E40" s="41"/>
      <c r="F40" s="41"/>
      <c r="G40" s="50"/>
      <c r="H40" s="226">
        <f>CP_Yr_4</f>
        <v>43800</v>
      </c>
      <c r="I40" s="226">
        <f>CP_Yr_5</f>
        <v>44166</v>
      </c>
      <c r="J40" s="350">
        <f>Stub</f>
        <v>44377</v>
      </c>
      <c r="K40" s="340">
        <f>Yr_1</f>
        <v>44742</v>
      </c>
      <c r="L40" s="226">
        <f>Yr_2</f>
        <v>45107</v>
      </c>
      <c r="M40" s="226">
        <f>Yr_3</f>
        <v>45473</v>
      </c>
      <c r="N40" s="226">
        <f>Yr_4</f>
        <v>45838</v>
      </c>
      <c r="O40" s="226">
        <f>Yr_5</f>
        <v>46203</v>
      </c>
    </row>
    <row r="41" spans="2:15" x14ac:dyDescent="0.3">
      <c r="B41" s="1" t="s">
        <v>44</v>
      </c>
      <c r="C41" s="41"/>
      <c r="D41" s="41"/>
      <c r="E41" s="41"/>
      <c r="F41" s="41"/>
      <c r="G41" s="50"/>
      <c r="H41" s="523"/>
      <c r="I41" s="523"/>
      <c r="J41" s="524"/>
      <c r="K41" s="523"/>
      <c r="L41" s="523"/>
      <c r="M41" s="523"/>
      <c r="N41" s="523"/>
      <c r="O41" s="523"/>
    </row>
    <row r="42" spans="2:15" x14ac:dyDescent="0.3">
      <c r="B42" s="1" t="s">
        <v>45</v>
      </c>
      <c r="C42" s="50"/>
      <c r="D42" s="50"/>
      <c r="E42" s="50"/>
      <c r="F42" s="50"/>
      <c r="G42" s="50"/>
      <c r="H42" s="525"/>
      <c r="I42" s="525"/>
      <c r="J42" s="526"/>
      <c r="K42" s="525"/>
      <c r="L42" s="525"/>
      <c r="M42" s="525"/>
      <c r="N42" s="525"/>
      <c r="O42" s="525"/>
    </row>
    <row r="43" spans="2:15" x14ac:dyDescent="0.3">
      <c r="B43" s="1" t="s">
        <v>683</v>
      </c>
      <c r="C43" s="50"/>
      <c r="D43" s="50"/>
      <c r="E43" s="50"/>
      <c r="F43" s="50"/>
      <c r="G43" s="50"/>
      <c r="H43" s="523"/>
      <c r="I43" s="523"/>
      <c r="J43" s="524"/>
      <c r="K43" s="523"/>
      <c r="L43" s="523"/>
      <c r="M43" s="523"/>
      <c r="N43" s="523"/>
      <c r="O43" s="523"/>
    </row>
    <row r="44" spans="2:15" x14ac:dyDescent="0.3">
      <c r="C44" s="50"/>
      <c r="D44" s="50"/>
      <c r="E44" s="50"/>
      <c r="F44" s="50"/>
      <c r="G44" s="50"/>
      <c r="J44" s="353"/>
    </row>
    <row r="45" spans="2:15" x14ac:dyDescent="0.3">
      <c r="B45" s="251" t="s">
        <v>684</v>
      </c>
      <c r="C45" s="50"/>
      <c r="D45" s="50"/>
      <c r="E45" s="50"/>
      <c r="F45" s="50"/>
      <c r="G45" s="50"/>
      <c r="J45" s="353"/>
    </row>
    <row r="46" spans="2:15" x14ac:dyDescent="0.3">
      <c r="B46" s="1" t="s">
        <v>44</v>
      </c>
      <c r="C46" s="50"/>
      <c r="D46" s="50"/>
      <c r="E46" s="50"/>
      <c r="F46" s="50"/>
      <c r="G46" s="50"/>
      <c r="H46" s="523"/>
      <c r="I46" s="523"/>
      <c r="J46" s="524"/>
      <c r="K46" s="523"/>
      <c r="L46" s="523"/>
      <c r="M46" s="523"/>
      <c r="N46" s="523"/>
      <c r="O46" s="523"/>
    </row>
    <row r="47" spans="2:15" x14ac:dyDescent="0.3">
      <c r="B47" s="1" t="s">
        <v>45</v>
      </c>
      <c r="C47" s="50"/>
      <c r="D47" s="50"/>
      <c r="E47" s="50"/>
      <c r="F47" s="50"/>
      <c r="G47" s="50"/>
      <c r="H47" s="525"/>
      <c r="I47" s="525"/>
      <c r="J47" s="526"/>
      <c r="K47" s="525"/>
      <c r="L47" s="525"/>
      <c r="M47" s="525"/>
      <c r="N47" s="525"/>
      <c r="O47" s="525"/>
    </row>
    <row r="48" spans="2:15" x14ac:dyDescent="0.3">
      <c r="B48" s="2" t="s">
        <v>682</v>
      </c>
      <c r="C48" s="50"/>
      <c r="D48" s="50"/>
      <c r="E48" s="50"/>
      <c r="F48" s="50"/>
      <c r="G48" s="50"/>
      <c r="H48" s="523"/>
      <c r="I48" s="523"/>
      <c r="J48" s="524"/>
      <c r="K48" s="523"/>
      <c r="L48" s="523"/>
      <c r="M48" s="523"/>
      <c r="N48" s="523"/>
      <c r="O48" s="523"/>
    </row>
    <row r="49" spans="2:28" x14ac:dyDescent="0.3">
      <c r="B49" s="440" t="s">
        <v>757</v>
      </c>
      <c r="C49" s="41"/>
      <c r="D49" s="41"/>
      <c r="E49" s="41"/>
      <c r="F49" s="41"/>
      <c r="G49" s="41"/>
      <c r="J49" s="353"/>
    </row>
    <row r="50" spans="2:28" x14ac:dyDescent="0.3">
      <c r="C50" s="41"/>
      <c r="D50" s="41"/>
      <c r="E50" s="41"/>
      <c r="F50" s="41"/>
      <c r="G50" s="41"/>
      <c r="J50" s="353"/>
    </row>
    <row r="51" spans="2:28" ht="28.8" x14ac:dyDescent="0.3">
      <c r="B51" s="430" t="s">
        <v>511</v>
      </c>
      <c r="C51" s="308"/>
      <c r="D51" s="308"/>
      <c r="E51" s="308"/>
      <c r="F51" s="308"/>
      <c r="G51" s="308"/>
      <c r="H51" s="527"/>
      <c r="I51" s="527"/>
      <c r="J51" s="528"/>
      <c r="K51" s="527"/>
      <c r="L51" s="527"/>
      <c r="M51" s="527"/>
      <c r="N51" s="527"/>
      <c r="O51" s="527"/>
      <c r="P51" s="39"/>
    </row>
    <row r="52" spans="2:28" x14ac:dyDescent="0.3">
      <c r="C52" s="50"/>
      <c r="D52" s="50"/>
      <c r="E52" s="50"/>
      <c r="F52" s="50"/>
      <c r="G52" s="50"/>
      <c r="H52" s="39"/>
      <c r="I52" s="39"/>
      <c r="J52" s="39"/>
      <c r="K52" s="39"/>
      <c r="L52" s="39"/>
      <c r="M52" s="39"/>
      <c r="N52" s="39"/>
      <c r="O52" s="39"/>
    </row>
    <row r="53" spans="2:28" x14ac:dyDescent="0.3">
      <c r="C53" s="50"/>
      <c r="D53" s="50"/>
      <c r="E53" s="50"/>
      <c r="F53" s="50"/>
      <c r="G53" s="50"/>
      <c r="H53" s="108"/>
      <c r="I53" s="108"/>
      <c r="J53" s="108"/>
      <c r="K53" s="108"/>
      <c r="L53" s="108"/>
      <c r="M53" s="108"/>
      <c r="N53" s="108"/>
      <c r="O53" s="108"/>
    </row>
    <row r="54" spans="2:28" x14ac:dyDescent="0.3">
      <c r="B54" s="255" t="s">
        <v>481</v>
      </c>
      <c r="C54" s="431"/>
      <c r="D54" s="431"/>
      <c r="E54" s="431"/>
      <c r="F54" s="431"/>
      <c r="G54" s="431"/>
      <c r="H54" s="432">
        <f>CP_Yr_4</f>
        <v>43800</v>
      </c>
      <c r="I54" s="432">
        <f>CP_Yr_5</f>
        <v>44166</v>
      </c>
      <c r="J54" s="433">
        <f>Stub</f>
        <v>44377</v>
      </c>
      <c r="K54" s="432">
        <f>Yr_1</f>
        <v>44742</v>
      </c>
      <c r="L54" s="432">
        <f>Yr_2</f>
        <v>45107</v>
      </c>
      <c r="M54" s="432">
        <f>Yr_3</f>
        <v>45473</v>
      </c>
      <c r="N54" s="432">
        <f>Yr_4</f>
        <v>45838</v>
      </c>
      <c r="O54" s="434">
        <f>Yr_5</f>
        <v>46203</v>
      </c>
      <c r="AB54" s="55"/>
    </row>
    <row r="55" spans="2:28" x14ac:dyDescent="0.3">
      <c r="B55" s="38" t="s">
        <v>32</v>
      </c>
      <c r="C55" s="41"/>
      <c r="D55" s="41"/>
      <c r="E55" s="41"/>
      <c r="F55" s="41"/>
      <c r="G55" s="50"/>
      <c r="H55" s="275">
        <v>5520.6732164192163</v>
      </c>
      <c r="I55" s="275">
        <v>4871.8694086043761</v>
      </c>
      <c r="J55" s="354">
        <v>2622.9724694342635</v>
      </c>
      <c r="K55" s="275">
        <v>6274.9442972362012</v>
      </c>
      <c r="L55" s="275">
        <v>6047.3654567479698</v>
      </c>
      <c r="M55" s="275">
        <v>6017.6518325100824</v>
      </c>
      <c r="N55" s="275">
        <v>6264.6214616018297</v>
      </c>
      <c r="O55" s="435">
        <v>6434.4190379748688</v>
      </c>
    </row>
    <row r="56" spans="2:28" x14ac:dyDescent="0.3">
      <c r="B56" s="38" t="s">
        <v>458</v>
      </c>
      <c r="C56" s="41"/>
      <c r="D56" s="41"/>
      <c r="E56" s="41"/>
      <c r="F56" s="41"/>
      <c r="G56" s="41"/>
      <c r="H56" s="223">
        <v>22637.115362540717</v>
      </c>
      <c r="I56" s="223">
        <v>21562.53619383385</v>
      </c>
      <c r="J56" s="355">
        <v>10361.00928467646</v>
      </c>
      <c r="K56" s="223">
        <v>19388.876637612622</v>
      </c>
      <c r="L56" s="223">
        <v>19180.81521361148</v>
      </c>
      <c r="M56" s="223">
        <v>19210.528837849364</v>
      </c>
      <c r="N56" s="223">
        <v>18963.559208757619</v>
      </c>
      <c r="O56" s="436">
        <v>18793.76163238458</v>
      </c>
    </row>
    <row r="57" spans="2:28" x14ac:dyDescent="0.3">
      <c r="B57" s="303" t="s">
        <v>462</v>
      </c>
      <c r="C57" s="42"/>
      <c r="D57" s="42"/>
      <c r="E57" s="42"/>
      <c r="F57" s="42"/>
      <c r="G57" s="42"/>
      <c r="H57" s="273">
        <f t="shared" ref="H57:O57" si="11">SUM(H55:H56)</f>
        <v>28157.788578959931</v>
      </c>
      <c r="I57" s="273">
        <f t="shared" si="11"/>
        <v>26434.405602438226</v>
      </c>
      <c r="J57" s="437">
        <f t="shared" si="11"/>
        <v>12983.981754110724</v>
      </c>
      <c r="K57" s="273">
        <f t="shared" si="11"/>
        <v>25663.820934848824</v>
      </c>
      <c r="L57" s="273">
        <f t="shared" si="11"/>
        <v>25228.180670359448</v>
      </c>
      <c r="M57" s="273">
        <f t="shared" si="11"/>
        <v>25228.180670359448</v>
      </c>
      <c r="N57" s="273">
        <f t="shared" si="11"/>
        <v>25228.180670359448</v>
      </c>
      <c r="O57" s="438">
        <f t="shared" si="11"/>
        <v>25228.180670359448</v>
      </c>
    </row>
    <row r="58" spans="2:28" x14ac:dyDescent="0.3">
      <c r="C58" s="41"/>
      <c r="D58" s="41"/>
      <c r="E58" s="41"/>
      <c r="F58" s="41"/>
      <c r="G58" s="41"/>
      <c r="H58" s="1" t="b">
        <f t="shared" ref="H58:K58" si="12">H57=H15</f>
        <v>1</v>
      </c>
      <c r="I58" s="1" t="b">
        <f t="shared" si="12"/>
        <v>1</v>
      </c>
      <c r="J58" s="353" t="b">
        <f t="shared" si="12"/>
        <v>1</v>
      </c>
      <c r="K58" s="1" t="b">
        <f t="shared" si="12"/>
        <v>1</v>
      </c>
      <c r="L58" s="1" t="b">
        <f>L57=L15</f>
        <v>1</v>
      </c>
      <c r="M58" s="1" t="b">
        <f t="shared" ref="M58:O58" si="13">M57=M15</f>
        <v>1</v>
      </c>
      <c r="N58" s="1" t="b">
        <f t="shared" si="13"/>
        <v>1</v>
      </c>
      <c r="O58" s="1" t="b">
        <f t="shared" si="13"/>
        <v>1</v>
      </c>
      <c r="T58" s="108"/>
      <c r="U58" s="108"/>
      <c r="V58" s="108"/>
      <c r="W58" s="108"/>
      <c r="X58" s="108"/>
      <c r="Y58" s="108"/>
      <c r="Z58" s="108"/>
    </row>
    <row r="59" spans="2:28" x14ac:dyDescent="0.3">
      <c r="C59" s="41"/>
      <c r="D59" s="41"/>
      <c r="E59" s="41"/>
      <c r="F59" s="41"/>
      <c r="G59" s="41"/>
      <c r="J59" s="353"/>
      <c r="T59" s="108"/>
      <c r="U59" s="108"/>
      <c r="V59" s="108"/>
      <c r="W59" s="108"/>
      <c r="X59" s="108"/>
      <c r="Y59" s="108"/>
      <c r="Z59" s="108"/>
    </row>
    <row r="60" spans="2:28" x14ac:dyDescent="0.3">
      <c r="B60" s="1" t="s">
        <v>681</v>
      </c>
      <c r="C60" s="41"/>
      <c r="D60" s="41"/>
      <c r="E60" s="41"/>
      <c r="F60" s="41"/>
      <c r="G60" s="41"/>
      <c r="H60" s="226">
        <f>CP_Yr_4</f>
        <v>43800</v>
      </c>
      <c r="I60" s="226">
        <f>CP_Yr_5</f>
        <v>44166</v>
      </c>
      <c r="J60" s="350">
        <f>Stub</f>
        <v>44377</v>
      </c>
      <c r="K60" s="340">
        <f>Yr_1</f>
        <v>44742</v>
      </c>
      <c r="L60" s="226">
        <f>Yr_2</f>
        <v>45107</v>
      </c>
      <c r="M60" s="226">
        <f>Yr_3</f>
        <v>45473</v>
      </c>
      <c r="N60" s="226">
        <f>Yr_4</f>
        <v>45838</v>
      </c>
      <c r="O60" s="226">
        <f>Yr_5</f>
        <v>46203</v>
      </c>
      <c r="T60" s="108"/>
      <c r="U60" s="108"/>
      <c r="V60" s="108"/>
      <c r="W60" s="108"/>
      <c r="X60" s="108"/>
      <c r="Y60" s="108"/>
      <c r="Z60" s="108"/>
    </row>
    <row r="61" spans="2:28" x14ac:dyDescent="0.3">
      <c r="B61" s="57" t="s">
        <v>510</v>
      </c>
      <c r="C61" s="41"/>
      <c r="D61" s="41"/>
      <c r="E61" s="41"/>
      <c r="F61" s="41"/>
      <c r="G61" s="41"/>
      <c r="H61" s="523"/>
      <c r="I61" s="523"/>
      <c r="J61" s="524"/>
      <c r="K61" s="523"/>
      <c r="L61" s="523"/>
      <c r="M61" s="523"/>
      <c r="N61" s="523"/>
      <c r="O61" s="523"/>
    </row>
    <row r="62" spans="2:28" x14ac:dyDescent="0.3">
      <c r="B62" s="440" t="s">
        <v>463</v>
      </c>
      <c r="C62" s="41"/>
      <c r="D62" s="41"/>
      <c r="E62" s="41"/>
      <c r="F62" s="41"/>
      <c r="G62" s="41"/>
      <c r="H62" s="529"/>
      <c r="I62" s="529"/>
      <c r="J62" s="530"/>
      <c r="K62" s="529"/>
      <c r="L62" s="529"/>
      <c r="M62" s="529"/>
      <c r="N62" s="529"/>
      <c r="O62" s="529"/>
      <c r="P62" s="439" t="s">
        <v>756</v>
      </c>
    </row>
    <row r="63" spans="2:28" x14ac:dyDescent="0.3">
      <c r="B63" s="57" t="s">
        <v>460</v>
      </c>
      <c r="C63" s="41"/>
      <c r="D63" s="41"/>
      <c r="E63" s="41"/>
      <c r="F63" s="41"/>
      <c r="G63" s="41"/>
      <c r="H63" s="523"/>
      <c r="I63" s="523"/>
      <c r="J63" s="524"/>
      <c r="K63" s="523"/>
      <c r="L63" s="523"/>
      <c r="M63" s="523"/>
      <c r="N63" s="523"/>
      <c r="O63" s="523"/>
    </row>
    <row r="64" spans="2:28" x14ac:dyDescent="0.3">
      <c r="B64" s="57" t="s">
        <v>461</v>
      </c>
      <c r="C64" s="41"/>
      <c r="D64" s="41"/>
      <c r="E64" s="41"/>
      <c r="F64" s="41"/>
      <c r="G64" s="41"/>
      <c r="H64" s="525"/>
      <c r="I64" s="525"/>
      <c r="J64" s="526"/>
      <c r="K64" s="525"/>
      <c r="L64" s="525"/>
      <c r="M64" s="525"/>
      <c r="N64" s="525"/>
      <c r="O64" s="525"/>
    </row>
    <row r="65" spans="2:15" x14ac:dyDescent="0.3">
      <c r="B65" s="1" t="s">
        <v>146</v>
      </c>
      <c r="H65" s="523"/>
      <c r="I65" s="523"/>
      <c r="J65" s="524"/>
      <c r="K65" s="523"/>
      <c r="L65" s="523"/>
      <c r="M65" s="523"/>
      <c r="N65" s="523"/>
      <c r="O65" s="523"/>
    </row>
    <row r="66" spans="2:15" x14ac:dyDescent="0.3">
      <c r="B66" s="1" t="s">
        <v>133</v>
      </c>
      <c r="H66" s="361">
        <v>0</v>
      </c>
      <c r="I66" s="422">
        <v>0</v>
      </c>
      <c r="J66" s="423">
        <v>0</v>
      </c>
      <c r="K66" s="279">
        <v>0</v>
      </c>
      <c r="L66" s="279">
        <v>0</v>
      </c>
      <c r="M66" s="279">
        <v>0</v>
      </c>
      <c r="N66" s="279">
        <v>0</v>
      </c>
      <c r="O66" s="279">
        <v>0</v>
      </c>
    </row>
    <row r="67" spans="2:15" x14ac:dyDescent="0.3">
      <c r="H67" s="39"/>
      <c r="I67" s="39"/>
      <c r="J67" s="39"/>
      <c r="K67" s="39"/>
      <c r="L67" s="39"/>
      <c r="M67" s="39"/>
      <c r="N67" s="39"/>
      <c r="O67" s="39"/>
    </row>
    <row r="68" spans="2:15" x14ac:dyDescent="0.3">
      <c r="B68" s="1" t="s">
        <v>32</v>
      </c>
      <c r="H68" s="531"/>
      <c r="I68" s="531"/>
      <c r="J68" s="531"/>
      <c r="K68" s="531"/>
      <c r="L68" s="531"/>
      <c r="M68" s="531"/>
      <c r="N68" s="531"/>
      <c r="O68" s="531"/>
    </row>
    <row r="69" spans="2:15" x14ac:dyDescent="0.3">
      <c r="B69" s="1" t="s">
        <v>464</v>
      </c>
      <c r="H69" s="531"/>
      <c r="I69" s="531"/>
      <c r="J69" s="531"/>
      <c r="K69" s="531"/>
      <c r="L69" s="531"/>
      <c r="M69" s="531"/>
      <c r="N69" s="531"/>
      <c r="O69" s="531"/>
    </row>
    <row r="70" spans="2:15" x14ac:dyDescent="0.3">
      <c r="I70" s="219"/>
      <c r="J70" s="219"/>
      <c r="K70" s="219"/>
      <c r="L70" s="219"/>
      <c r="M70" s="219"/>
      <c r="N70" s="219"/>
    </row>
    <row r="71" spans="2:15" x14ac:dyDescent="0.3">
      <c r="I71" s="85"/>
      <c r="J71" s="85"/>
      <c r="K71" s="85"/>
      <c r="L71" s="85"/>
      <c r="M71" s="85"/>
      <c r="N71" s="85"/>
    </row>
    <row r="72" spans="2:15" x14ac:dyDescent="0.3">
      <c r="I72" s="85"/>
      <c r="J72" s="85"/>
      <c r="K72" s="85"/>
      <c r="L72" s="85"/>
      <c r="M72" s="85"/>
      <c r="N72" s="85"/>
    </row>
  </sheetData>
  <mergeCells count="1">
    <mergeCell ref="J1:K1"/>
  </mergeCells>
  <hyperlinks>
    <hyperlink ref="B2" location="Contents!A1" display="Table of Contents" xr:uid="{00000000-0004-0000-1F00-000000000000}"/>
  </hyperlinks>
  <pageMargins left="0.7" right="0.7" top="0.75" bottom="0.75" header="0.3" footer="0.3"/>
  <pageSetup paperSize="9" orientation="portrait" horizontalDpi="4294967292" verticalDpi="4294967292" r:id="rId1"/>
  <drawing r:id="rId2"/>
  <legacyDrawing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D17"/>
  <sheetViews>
    <sheetView zoomScale="85" zoomScaleNormal="85" zoomScalePageLayoutView="125" workbookViewId="0">
      <selection activeCell="C6" sqref="C6"/>
    </sheetView>
  </sheetViews>
  <sheetFormatPr defaultColWidth="8.88671875" defaultRowHeight="14.4" x14ac:dyDescent="0.3"/>
  <cols>
    <col min="1" max="1" width="6.33203125" style="1" customWidth="1"/>
    <col min="2" max="2" width="4.33203125" style="1" customWidth="1"/>
    <col min="3" max="3" width="94.88671875" style="1" customWidth="1"/>
    <col min="4" max="16384" width="8.88671875" style="1"/>
  </cols>
  <sheetData>
    <row r="1" spans="2:4" ht="18" x14ac:dyDescent="0.35">
      <c r="B1" s="10" t="s">
        <v>7</v>
      </c>
    </row>
    <row r="2" spans="2:4" x14ac:dyDescent="0.3">
      <c r="B2" s="25" t="s">
        <v>6</v>
      </c>
    </row>
    <row r="4" spans="2:4" ht="28.8" x14ac:dyDescent="0.3">
      <c r="B4" s="4">
        <v>1</v>
      </c>
      <c r="C4" s="5" t="s">
        <v>8</v>
      </c>
    </row>
    <row r="5" spans="2:4" x14ac:dyDescent="0.3">
      <c r="B5" s="4">
        <v>2</v>
      </c>
      <c r="C5" s="5" t="s">
        <v>255</v>
      </c>
    </row>
    <row r="6" spans="2:4" ht="28.8" x14ac:dyDescent="0.3">
      <c r="B6" s="4">
        <v>3</v>
      </c>
      <c r="C6" s="266" t="s">
        <v>494</v>
      </c>
      <c r="D6" s="260"/>
    </row>
    <row r="7" spans="2:4" ht="28.8" x14ac:dyDescent="0.3">
      <c r="B7" s="4">
        <v>4</v>
      </c>
      <c r="C7" s="5" t="s">
        <v>679</v>
      </c>
    </row>
    <row r="8" spans="2:4" x14ac:dyDescent="0.3">
      <c r="B8" s="4">
        <v>5</v>
      </c>
      <c r="C8" s="266"/>
      <c r="D8" s="260"/>
    </row>
    <row r="9" spans="2:4" x14ac:dyDescent="0.3">
      <c r="B9" s="4">
        <v>6</v>
      </c>
      <c r="C9" s="5"/>
    </row>
    <row r="10" spans="2:4" x14ac:dyDescent="0.3">
      <c r="B10" s="4">
        <v>7</v>
      </c>
      <c r="C10" s="5"/>
    </row>
    <row r="11" spans="2:4" x14ac:dyDescent="0.3">
      <c r="B11" s="4">
        <v>8</v>
      </c>
      <c r="C11" s="5"/>
    </row>
    <row r="12" spans="2:4" x14ac:dyDescent="0.3">
      <c r="B12" s="4">
        <v>9</v>
      </c>
      <c r="C12" s="5"/>
    </row>
    <row r="13" spans="2:4" x14ac:dyDescent="0.3">
      <c r="B13" s="4">
        <v>10</v>
      </c>
      <c r="C13" s="5"/>
    </row>
    <row r="14" spans="2:4" x14ac:dyDescent="0.3">
      <c r="B14" s="4">
        <v>11</v>
      </c>
      <c r="C14" s="5"/>
    </row>
    <row r="15" spans="2:4" x14ac:dyDescent="0.3">
      <c r="B15" s="4">
        <v>12</v>
      </c>
      <c r="C15" s="5"/>
    </row>
    <row r="16" spans="2:4" x14ac:dyDescent="0.3">
      <c r="B16" s="4">
        <v>13</v>
      </c>
      <c r="C16" s="5"/>
    </row>
    <row r="17" spans="2:3" x14ac:dyDescent="0.3">
      <c r="B17" s="4">
        <v>14</v>
      </c>
      <c r="C17" s="5"/>
    </row>
  </sheetData>
  <hyperlinks>
    <hyperlink ref="B2" location="Contents!A1" display="Table of Contents" xr:uid="{00000000-0004-0000-0100-000000000000}"/>
  </hyperlinks>
  <pageMargins left="0.7" right="0.7" top="0.75" bottom="0.75" header="0.3" footer="0.3"/>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8">
    <tabColor theme="8" tint="-0.499984740745262"/>
  </sheetPr>
  <dimension ref="C3:C4"/>
  <sheetViews>
    <sheetView zoomScaleNormal="100" zoomScalePageLayoutView="125" workbookViewId="0">
      <selection activeCell="K24" sqref="K24"/>
    </sheetView>
  </sheetViews>
  <sheetFormatPr defaultColWidth="8.88671875" defaultRowHeight="14.4" x14ac:dyDescent="0.3"/>
  <cols>
    <col min="1" max="1" width="8.88671875" style="22"/>
    <col min="2" max="2" width="4" style="22" customWidth="1"/>
    <col min="3" max="16384" width="8.88671875" style="22"/>
  </cols>
  <sheetData>
    <row r="3" spans="3:3" ht="18" x14ac:dyDescent="0.35">
      <c r="C3" s="21" t="s">
        <v>0</v>
      </c>
    </row>
    <row r="4" spans="3:3" x14ac:dyDescent="0.3">
      <c r="C4" s="26" t="s">
        <v>6</v>
      </c>
    </row>
  </sheetData>
  <hyperlinks>
    <hyperlink ref="C4" location="Contents!A1" display="Table of Contents" xr:uid="{00000000-0004-0000-2100-000000000000}"/>
  </hyperlinks>
  <pageMargins left="0.7" right="0.7" top="0.75" bottom="0.75" header="0.3" footer="0.3"/>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9">
    <tabColor rgb="FFCCFFFF"/>
  </sheetPr>
  <dimension ref="B1:AB42"/>
  <sheetViews>
    <sheetView zoomScale="85" zoomScaleNormal="85" zoomScalePageLayoutView="125" workbookViewId="0">
      <selection activeCell="L13" sqref="L13"/>
    </sheetView>
  </sheetViews>
  <sheetFormatPr defaultColWidth="8.88671875" defaultRowHeight="14.4" outlineLevelCol="1" x14ac:dyDescent="0.3"/>
  <cols>
    <col min="1" max="1" width="4.44140625" style="1" customWidth="1"/>
    <col min="2" max="2" width="4.6640625" style="1" customWidth="1"/>
    <col min="3" max="3" width="41.6640625" style="1" customWidth="1"/>
    <col min="4" max="7" width="9.88671875" style="1" hidden="1" customWidth="1" outlineLevel="1"/>
    <col min="8" max="8" width="8.88671875" style="1" hidden="1" customWidth="1" outlineLevel="1"/>
    <col min="9" max="9" width="8.88671875" style="1" collapsed="1"/>
    <col min="10" max="13" width="8.88671875" style="1"/>
    <col min="14" max="14" width="9.88671875" style="1" customWidth="1"/>
    <col min="15" max="19" width="8.88671875" style="1"/>
    <col min="20" max="20" width="9.33203125" style="1" customWidth="1"/>
    <col min="21" max="21" width="5.88671875" style="1" customWidth="1"/>
    <col min="22" max="26" width="8.88671875" style="1"/>
    <col min="27" max="27" width="9.88671875" style="1" customWidth="1"/>
    <col min="28" max="32" width="8.88671875" style="1"/>
    <col min="33" max="34" width="2.6640625" style="1" customWidth="1"/>
    <col min="35" max="16384" width="8.88671875" style="1"/>
  </cols>
  <sheetData>
    <row r="1" spans="2:28" ht="18" x14ac:dyDescent="0.35">
      <c r="B1" s="10" t="s">
        <v>725</v>
      </c>
      <c r="O1" s="109"/>
    </row>
    <row r="2" spans="2:28" x14ac:dyDescent="0.3">
      <c r="B2" s="25" t="s">
        <v>6</v>
      </c>
      <c r="H2" s="89"/>
    </row>
    <row r="3" spans="2:28" x14ac:dyDescent="0.3">
      <c r="B3" s="25"/>
      <c r="H3" s="52"/>
      <c r="L3" s="101">
        <f>Escalators!N14</f>
        <v>1.0207768744354111</v>
      </c>
      <c r="M3" s="101">
        <f>Escalators!O14</f>
        <v>1.0370370370370372</v>
      </c>
      <c r="N3" s="101">
        <f>Escalators!Q14</f>
        <v>1.0577777777777779</v>
      </c>
      <c r="O3" s="101">
        <f>Escalators!$Q$14</f>
        <v>1.0577777777777779</v>
      </c>
      <c r="P3" s="1" t="s">
        <v>585</v>
      </c>
    </row>
    <row r="4" spans="2:28" x14ac:dyDescent="0.3">
      <c r="C4" s="98" t="s">
        <v>303</v>
      </c>
    </row>
    <row r="5" spans="2:28" ht="15" customHeight="1" x14ac:dyDescent="0.3">
      <c r="C5" s="97"/>
      <c r="D5" s="607" t="s">
        <v>393</v>
      </c>
      <c r="E5" s="608"/>
      <c r="F5" s="608"/>
      <c r="G5" s="608"/>
      <c r="H5" s="609"/>
      <c r="I5" s="607" t="s">
        <v>393</v>
      </c>
      <c r="J5" s="608"/>
      <c r="K5" s="608"/>
      <c r="L5" s="608"/>
      <c r="M5" s="608"/>
      <c r="N5" s="609"/>
      <c r="O5" s="604" t="s">
        <v>586</v>
      </c>
      <c r="P5" s="605"/>
      <c r="Q5" s="605"/>
      <c r="R5" s="605"/>
      <c r="S5" s="606"/>
    </row>
    <row r="6" spans="2:28" ht="15" customHeight="1" x14ac:dyDescent="0.3">
      <c r="C6" s="97"/>
      <c r="D6" s="242" t="s">
        <v>285</v>
      </c>
      <c r="E6" s="243" t="s">
        <v>285</v>
      </c>
      <c r="F6" s="243" t="s">
        <v>285</v>
      </c>
      <c r="G6" s="243" t="s">
        <v>285</v>
      </c>
      <c r="H6" s="244" t="s">
        <v>285</v>
      </c>
      <c r="I6" s="242" t="s">
        <v>285</v>
      </c>
      <c r="J6" s="243" t="s">
        <v>285</v>
      </c>
      <c r="K6" s="243" t="s">
        <v>285</v>
      </c>
      <c r="L6" s="243" t="s">
        <v>286</v>
      </c>
      <c r="M6" s="243" t="s">
        <v>286</v>
      </c>
      <c r="N6" s="190" t="s">
        <v>286</v>
      </c>
      <c r="O6" s="242" t="s">
        <v>286</v>
      </c>
      <c r="P6" s="243" t="s">
        <v>286</v>
      </c>
      <c r="Q6" s="243" t="s">
        <v>286</v>
      </c>
      <c r="R6" s="243" t="s">
        <v>286</v>
      </c>
      <c r="S6" s="244" t="s">
        <v>286</v>
      </c>
    </row>
    <row r="7" spans="2:28" x14ac:dyDescent="0.3">
      <c r="C7" s="2" t="s">
        <v>394</v>
      </c>
      <c r="D7" s="242">
        <v>2011</v>
      </c>
      <c r="E7" s="243">
        <v>2012</v>
      </c>
      <c r="F7" s="243">
        <v>2013</v>
      </c>
      <c r="G7" s="243">
        <v>2014</v>
      </c>
      <c r="H7" s="231">
        <v>2015</v>
      </c>
      <c r="I7" s="230">
        <v>2016</v>
      </c>
      <c r="J7" s="231">
        <v>2017</v>
      </c>
      <c r="K7" s="231">
        <v>2018</v>
      </c>
      <c r="L7" s="342">
        <f>CP_Yr_4</f>
        <v>43800</v>
      </c>
      <c r="M7" s="342">
        <f>CP_Yr_5</f>
        <v>44166</v>
      </c>
      <c r="N7" s="29">
        <f>Stub</f>
        <v>44377</v>
      </c>
      <c r="O7" s="344">
        <f>Yr_1</f>
        <v>44742</v>
      </c>
      <c r="P7" s="342">
        <f>Yr_2</f>
        <v>45107</v>
      </c>
      <c r="Q7" s="342">
        <f>Yr_3</f>
        <v>45473</v>
      </c>
      <c r="R7" s="342">
        <f>Yr_4</f>
        <v>45838</v>
      </c>
      <c r="S7" s="343">
        <f>Yr_5</f>
        <v>46203</v>
      </c>
      <c r="T7" s="232" t="str">
        <f>NReg_Period</f>
        <v>2022-26</v>
      </c>
    </row>
    <row r="8" spans="2:28" ht="6" customHeight="1" x14ac:dyDescent="0.3">
      <c r="G8" s="41"/>
      <c r="H8" s="41"/>
      <c r="I8" s="38"/>
      <c r="N8" s="32"/>
      <c r="O8" s="255"/>
      <c r="T8" s="38"/>
    </row>
    <row r="9" spans="2:28" x14ac:dyDescent="0.3">
      <c r="C9" s="1" t="s">
        <v>44</v>
      </c>
      <c r="D9" s="91">
        <v>22.221416972009369</v>
      </c>
      <c r="E9" s="91">
        <v>44.068269104737396</v>
      </c>
      <c r="F9" s="91">
        <v>63.80349995248401</v>
      </c>
      <c r="G9" s="239">
        <v>63.116820701394637</v>
      </c>
      <c r="H9" s="113">
        <v>35.869712198197576</v>
      </c>
      <c r="I9" s="183">
        <v>30.400947985309521</v>
      </c>
      <c r="J9" s="248">
        <v>31.049051671191918</v>
      </c>
      <c r="K9" s="248">
        <v>49.418701188718934</v>
      </c>
      <c r="L9" s="388">
        <v>71.420056975167057</v>
      </c>
      <c r="M9" s="388">
        <v>86.569152915799947</v>
      </c>
      <c r="N9" s="451">
        <v>39.078487873933526</v>
      </c>
      <c r="O9" s="371">
        <v>61.827758850203999</v>
      </c>
      <c r="P9" s="91">
        <v>72.113380786835236</v>
      </c>
      <c r="Q9" s="91">
        <v>71.673048488064723</v>
      </c>
      <c r="R9" s="91">
        <v>59.593202328623931</v>
      </c>
      <c r="S9" s="253">
        <v>48.471607878360871</v>
      </c>
      <c r="T9" s="368">
        <f t="shared" ref="T9:T16" si="0">SUM(O9:S9)</f>
        <v>313.67899833208878</v>
      </c>
      <c r="V9" s="158"/>
      <c r="W9" s="158"/>
      <c r="X9" s="289"/>
      <c r="Y9" s="289"/>
      <c r="Z9" s="289"/>
      <c r="AA9" s="289"/>
      <c r="AB9" s="289"/>
    </row>
    <row r="10" spans="2:28" x14ac:dyDescent="0.3">
      <c r="C10" s="1" t="s">
        <v>45</v>
      </c>
      <c r="D10" s="91">
        <v>214.21892081260307</v>
      </c>
      <c r="E10" s="91">
        <v>229.0560217353418</v>
      </c>
      <c r="F10" s="91">
        <v>264.20522451001659</v>
      </c>
      <c r="G10" s="239">
        <v>326.39358925165811</v>
      </c>
      <c r="H10" s="113">
        <v>285.79277499348507</v>
      </c>
      <c r="I10" s="183">
        <v>245.8649248354067</v>
      </c>
      <c r="J10" s="248">
        <v>261.77504860062623</v>
      </c>
      <c r="K10" s="248">
        <v>292.97388312868702</v>
      </c>
      <c r="L10" s="388">
        <v>263.96590286081556</v>
      </c>
      <c r="M10" s="388">
        <v>282.4272527375195</v>
      </c>
      <c r="N10" s="451">
        <v>140.25961078138209</v>
      </c>
      <c r="O10" s="371">
        <v>234.8026465946262</v>
      </c>
      <c r="P10" s="91">
        <v>230.55100657404853</v>
      </c>
      <c r="Q10" s="91">
        <v>224.96003489886635</v>
      </c>
      <c r="R10" s="91">
        <v>226.26788724315489</v>
      </c>
      <c r="S10" s="253">
        <v>236.59382884374838</v>
      </c>
      <c r="T10" s="368">
        <f t="shared" si="0"/>
        <v>1153.1754041544443</v>
      </c>
      <c r="V10" s="158"/>
      <c r="W10" s="158"/>
      <c r="X10" s="289"/>
      <c r="Y10" s="289"/>
      <c r="Z10" s="289"/>
      <c r="AA10" s="289"/>
      <c r="AB10" s="289"/>
    </row>
    <row r="11" spans="2:28" x14ac:dyDescent="0.3">
      <c r="C11" s="1" t="s">
        <v>48</v>
      </c>
      <c r="D11" s="91">
        <v>1.2689451272140742</v>
      </c>
      <c r="E11" s="91">
        <v>5.9134930672221477</v>
      </c>
      <c r="F11" s="91">
        <v>1.9250731948508306</v>
      </c>
      <c r="G11" s="239">
        <v>0.73591031805575635</v>
      </c>
      <c r="H11" s="113">
        <v>0.17932764715778621</v>
      </c>
      <c r="I11" s="183">
        <v>7.6967139695411237</v>
      </c>
      <c r="J11" s="248">
        <v>19.798756866485995</v>
      </c>
      <c r="K11" s="248">
        <v>23.110468226893353</v>
      </c>
      <c r="L11" s="388">
        <v>24.510469896199112</v>
      </c>
      <c r="M11" s="388">
        <v>31.578434201847418</v>
      </c>
      <c r="N11" s="451">
        <v>14.325025779527234</v>
      </c>
      <c r="O11" s="371">
        <v>29.392006233575056</v>
      </c>
      <c r="P11" s="91">
        <v>21.598413520345556</v>
      </c>
      <c r="Q11" s="91">
        <v>21.475357294304526</v>
      </c>
      <c r="R11" s="91">
        <v>23.386128901552159</v>
      </c>
      <c r="S11" s="253">
        <v>19.596080783097069</v>
      </c>
      <c r="T11" s="368">
        <f t="shared" si="0"/>
        <v>115.44798673287436</v>
      </c>
      <c r="V11" s="158"/>
      <c r="W11" s="158"/>
      <c r="X11" s="289"/>
      <c r="Y11" s="289"/>
      <c r="Z11" s="289"/>
      <c r="AA11" s="289"/>
      <c r="AB11" s="289"/>
    </row>
    <row r="12" spans="2:28" x14ac:dyDescent="0.3">
      <c r="C12" s="1" t="s">
        <v>49</v>
      </c>
      <c r="D12" s="91">
        <v>46.619225442675479</v>
      </c>
      <c r="E12" s="91">
        <v>45.516156927547812</v>
      </c>
      <c r="F12" s="91">
        <v>50.208650819470257</v>
      </c>
      <c r="G12" s="239">
        <v>33.026078626827349</v>
      </c>
      <c r="H12" s="113">
        <v>32.021862128714794</v>
      </c>
      <c r="I12" s="183">
        <v>14.368095063742029</v>
      </c>
      <c r="J12" s="248">
        <v>40.489560731237674</v>
      </c>
      <c r="K12" s="248">
        <v>29.741096969431066</v>
      </c>
      <c r="L12" s="388">
        <v>47.140460930907821</v>
      </c>
      <c r="M12" s="388">
        <v>48.479463193455395</v>
      </c>
      <c r="N12" s="451">
        <v>20.102988436245845</v>
      </c>
      <c r="O12" s="90">
        <v>38.300502219730852</v>
      </c>
      <c r="P12" s="91">
        <v>29.954303105002271</v>
      </c>
      <c r="Q12" s="91">
        <v>38.167610311653085</v>
      </c>
      <c r="R12" s="91">
        <v>30.175799950344306</v>
      </c>
      <c r="S12" s="253">
        <v>28.849509632501292</v>
      </c>
      <c r="T12" s="368">
        <f t="shared" si="0"/>
        <v>165.44772521923178</v>
      </c>
      <c r="V12" s="158"/>
      <c r="W12" s="158"/>
      <c r="X12" s="289"/>
      <c r="Y12" s="289"/>
      <c r="Z12" s="289"/>
      <c r="AA12" s="289"/>
      <c r="AB12" s="289"/>
    </row>
    <row r="13" spans="2:28" x14ac:dyDescent="0.3">
      <c r="C13" s="1" t="s">
        <v>520</v>
      </c>
      <c r="D13" s="91"/>
      <c r="E13" s="91"/>
      <c r="F13" s="91"/>
      <c r="G13" s="239"/>
      <c r="H13" s="113"/>
      <c r="I13" s="183">
        <v>0</v>
      </c>
      <c r="J13" s="248">
        <v>0</v>
      </c>
      <c r="K13" s="248">
        <v>0</v>
      </c>
      <c r="L13" s="643">
        <v>13.383272427123755</v>
      </c>
      <c r="M13" s="388">
        <v>14.08284785264847</v>
      </c>
      <c r="N13" s="451">
        <v>3.6422279982897927</v>
      </c>
      <c r="O13" s="90">
        <v>9.8200646770492241</v>
      </c>
      <c r="P13" s="91">
        <v>4.3610999589322805</v>
      </c>
      <c r="Q13" s="91">
        <v>0.71711853916956292</v>
      </c>
      <c r="R13" s="91">
        <v>0</v>
      </c>
      <c r="S13" s="253">
        <v>0.74288306782385605</v>
      </c>
      <c r="T13" s="368">
        <f t="shared" si="0"/>
        <v>15.641166242974924</v>
      </c>
      <c r="V13" s="158"/>
      <c r="W13" s="158"/>
      <c r="X13" s="289"/>
      <c r="Y13" s="289"/>
      <c r="Z13" s="289"/>
      <c r="AA13" s="289"/>
      <c r="AB13" s="289"/>
    </row>
    <row r="14" spans="2:28" x14ac:dyDescent="0.3">
      <c r="C14" s="1" t="s">
        <v>50</v>
      </c>
      <c r="D14" s="91">
        <v>5.0265670949548289</v>
      </c>
      <c r="E14" s="91">
        <v>6.5548071296747672</v>
      </c>
      <c r="F14" s="91">
        <v>6.1607829749307585</v>
      </c>
      <c r="G14" s="239">
        <v>4.9603971712309995</v>
      </c>
      <c r="H14" s="113">
        <v>6.0558664631467227</v>
      </c>
      <c r="I14" s="183">
        <v>6.3273896305075334</v>
      </c>
      <c r="J14" s="248">
        <v>5.4221105210662968</v>
      </c>
      <c r="K14" s="248">
        <v>17.16343154079755</v>
      </c>
      <c r="L14" s="388">
        <v>6.9957145345187737</v>
      </c>
      <c r="M14" s="388">
        <v>5.56172532142857</v>
      </c>
      <c r="N14" s="451">
        <v>4.0196303404444453</v>
      </c>
      <c r="O14" s="90">
        <v>9.10646761507906</v>
      </c>
      <c r="P14" s="91">
        <v>7.7036806470087118</v>
      </c>
      <c r="Q14" s="91">
        <v>7.2097134878066518</v>
      </c>
      <c r="R14" s="91">
        <v>10.477932776197964</v>
      </c>
      <c r="S14" s="253">
        <v>13.154315788797099</v>
      </c>
      <c r="T14" s="368">
        <f t="shared" si="0"/>
        <v>47.652110314889491</v>
      </c>
      <c r="U14" s="91"/>
      <c r="V14" s="158"/>
      <c r="W14" s="158"/>
      <c r="X14" s="289"/>
      <c r="Y14" s="289"/>
      <c r="Z14" s="289"/>
      <c r="AA14" s="289"/>
      <c r="AB14" s="289"/>
    </row>
    <row r="15" spans="2:28" x14ac:dyDescent="0.3">
      <c r="C15" s="1" t="s">
        <v>590</v>
      </c>
      <c r="D15" s="91"/>
      <c r="E15" s="91"/>
      <c r="F15" s="91"/>
      <c r="G15" s="239"/>
      <c r="H15" s="113"/>
      <c r="I15" s="183">
        <v>0</v>
      </c>
      <c r="J15" s="248">
        <v>0</v>
      </c>
      <c r="K15" s="248">
        <v>0</v>
      </c>
      <c r="L15" s="388">
        <v>31.730577680500581</v>
      </c>
      <c r="M15" s="388">
        <v>0.33142974144065346</v>
      </c>
      <c r="N15" s="451">
        <v>0.16101271048294152</v>
      </c>
      <c r="O15" s="90">
        <v>1.3117796955947785</v>
      </c>
      <c r="P15" s="91">
        <v>0</v>
      </c>
      <c r="Q15" s="91">
        <v>0</v>
      </c>
      <c r="R15" s="91">
        <v>0</v>
      </c>
      <c r="S15" s="253">
        <v>4.8675224240832415</v>
      </c>
      <c r="T15" s="368">
        <f t="shared" ref="T15" si="1">SUM(O15:S15)</f>
        <v>6.1793021196780202</v>
      </c>
      <c r="U15" s="91"/>
      <c r="V15" s="158"/>
      <c r="W15" s="158"/>
      <c r="X15" s="289"/>
      <c r="Y15" s="289"/>
      <c r="Z15" s="289"/>
      <c r="AA15" s="289"/>
      <c r="AB15" s="289"/>
    </row>
    <row r="16" spans="2:28" x14ac:dyDescent="0.3">
      <c r="C16" s="1" t="s">
        <v>397</v>
      </c>
      <c r="D16" s="92">
        <v>0</v>
      </c>
      <c r="E16" s="92">
        <v>0</v>
      </c>
      <c r="F16" s="92">
        <v>0</v>
      </c>
      <c r="G16" s="237">
        <v>0</v>
      </c>
      <c r="H16" s="92">
        <v>0</v>
      </c>
      <c r="I16" s="184">
        <v>0</v>
      </c>
      <c r="J16" s="249">
        <v>5.416926296826443E-2</v>
      </c>
      <c r="K16" s="249">
        <v>0</v>
      </c>
      <c r="L16" s="389">
        <v>2.7807949214944668E-2</v>
      </c>
      <c r="M16" s="389">
        <v>1.6521042463376359</v>
      </c>
      <c r="N16" s="453">
        <v>2.0127897242154011E-2</v>
      </c>
      <c r="O16" s="241">
        <v>3.4640556735496215E-2</v>
      </c>
      <c r="P16" s="92">
        <v>0.36611015044618322</v>
      </c>
      <c r="Q16" s="92">
        <v>0.63759126607844396</v>
      </c>
      <c r="R16" s="92">
        <v>0.92609055231018367</v>
      </c>
      <c r="S16" s="254">
        <v>1.0048340973034031</v>
      </c>
      <c r="T16" s="369">
        <f t="shared" si="0"/>
        <v>2.9692666228737101</v>
      </c>
      <c r="V16" s="158"/>
      <c r="W16" s="158"/>
      <c r="X16" s="289"/>
      <c r="Y16" s="289"/>
      <c r="Z16" s="289"/>
      <c r="AA16" s="289"/>
      <c r="AB16" s="289"/>
    </row>
    <row r="17" spans="3:27" x14ac:dyDescent="0.3">
      <c r="C17" s="57" t="s">
        <v>146</v>
      </c>
      <c r="D17" s="91">
        <f t="shared" ref="D17:S17" si="2">SUM(D9:D16)</f>
        <v>289.35507544945682</v>
      </c>
      <c r="E17" s="91">
        <f t="shared" si="2"/>
        <v>331.1087479645239</v>
      </c>
      <c r="F17" s="91">
        <f t="shared" si="2"/>
        <v>386.30323145175248</v>
      </c>
      <c r="G17" s="239">
        <f t="shared" si="2"/>
        <v>428.23279606916691</v>
      </c>
      <c r="H17" s="113">
        <f t="shared" si="2"/>
        <v>359.91954343070199</v>
      </c>
      <c r="I17" s="90">
        <f t="shared" si="2"/>
        <v>304.65807148450688</v>
      </c>
      <c r="J17" s="91">
        <f t="shared" si="2"/>
        <v>358.58869765357639</v>
      </c>
      <c r="K17" s="91">
        <f t="shared" si="2"/>
        <v>412.40758105452795</v>
      </c>
      <c r="L17" s="91">
        <f t="shared" si="2"/>
        <v>459.17426325444751</v>
      </c>
      <c r="M17" s="91">
        <f t="shared" si="2"/>
        <v>470.6824102104776</v>
      </c>
      <c r="N17" s="346">
        <f t="shared" si="2"/>
        <v>221.60911181754804</v>
      </c>
      <c r="O17" s="90">
        <f t="shared" si="2"/>
        <v>384.59586644259468</v>
      </c>
      <c r="P17" s="91">
        <f t="shared" si="2"/>
        <v>366.64799474261878</v>
      </c>
      <c r="Q17" s="91">
        <f t="shared" si="2"/>
        <v>364.84047428594334</v>
      </c>
      <c r="R17" s="91">
        <f t="shared" si="2"/>
        <v>350.8270417521835</v>
      </c>
      <c r="S17" s="253">
        <f t="shared" si="2"/>
        <v>353.2805825157152</v>
      </c>
      <c r="T17" s="368">
        <f>SUM(T9:T16)</f>
        <v>1820.1919597390556</v>
      </c>
      <c r="W17" s="158"/>
    </row>
    <row r="18" spans="3:27" x14ac:dyDescent="0.3">
      <c r="C18" s="53" t="s">
        <v>133</v>
      </c>
      <c r="D18" s="53"/>
      <c r="E18" s="53"/>
      <c r="F18" s="53"/>
      <c r="G18" s="246"/>
      <c r="H18" s="246"/>
      <c r="I18" s="53"/>
      <c r="J18" s="53"/>
      <c r="K18" s="53"/>
      <c r="L18" s="247"/>
      <c r="M18" s="247"/>
      <c r="N18" s="247"/>
      <c r="O18" s="247">
        <f>O17-Reg_Forecast!BO28*$O$3/Thousands</f>
        <v>0</v>
      </c>
      <c r="P18" s="247">
        <f>P17-Reg_Forecast!BP28*$O$3/Thousands</f>
        <v>0</v>
      </c>
      <c r="Q18" s="247">
        <f>Q17-Reg_Forecast!BQ28*$O$3/Thousands</f>
        <v>0</v>
      </c>
      <c r="R18" s="247">
        <f>R17-Reg_Forecast!BR28*$O$3/Thousands</f>
        <v>0</v>
      </c>
      <c r="S18" s="247">
        <f>S17-Reg_Forecast!BS28*$O$3/Thousands</f>
        <v>0</v>
      </c>
      <c r="T18" s="51"/>
      <c r="W18" s="158"/>
      <c r="X18" s="91"/>
      <c r="Y18" s="91"/>
      <c r="Z18" s="91"/>
      <c r="AA18" s="91"/>
    </row>
    <row r="19" spans="3:27" x14ac:dyDescent="0.3">
      <c r="C19" s="2" t="s">
        <v>395</v>
      </c>
      <c r="D19" s="43">
        <v>2011</v>
      </c>
      <c r="E19" s="43">
        <v>2012</v>
      </c>
      <c r="F19" s="43">
        <v>2013</v>
      </c>
      <c r="G19" s="240">
        <v>2014</v>
      </c>
      <c r="H19" s="87">
        <v>2015</v>
      </c>
      <c r="I19" s="238">
        <v>2016</v>
      </c>
      <c r="J19" s="43">
        <v>2017</v>
      </c>
      <c r="K19" s="36">
        <v>2018</v>
      </c>
      <c r="L19" s="226">
        <f>CP_Yr_4</f>
        <v>43800</v>
      </c>
      <c r="M19" s="226">
        <f>CP_Yr_5</f>
        <v>44166</v>
      </c>
      <c r="N19" s="347">
        <f>Stub</f>
        <v>44377</v>
      </c>
      <c r="O19" s="339">
        <f>Yr_1</f>
        <v>44742</v>
      </c>
      <c r="P19" s="226">
        <f>Yr_2</f>
        <v>45107</v>
      </c>
      <c r="Q19" s="226">
        <f>Yr_3</f>
        <v>45473</v>
      </c>
      <c r="R19" s="226">
        <f>Yr_4</f>
        <v>45838</v>
      </c>
      <c r="S19" s="226">
        <f>Yr_5</f>
        <v>46203</v>
      </c>
      <c r="T19" s="37" t="str">
        <f>NReg_Period</f>
        <v>2022-26</v>
      </c>
      <c r="W19" s="158"/>
    </row>
    <row r="20" spans="3:27" ht="6" customHeight="1" x14ac:dyDescent="0.3">
      <c r="G20" s="41"/>
      <c r="H20" s="41"/>
      <c r="I20" s="38"/>
      <c r="N20" s="32"/>
      <c r="O20" s="38"/>
      <c r="T20" s="38"/>
      <c r="W20" s="158"/>
    </row>
    <row r="21" spans="3:27" x14ac:dyDescent="0.3">
      <c r="C21" s="1" t="s">
        <v>44</v>
      </c>
      <c r="D21" s="91">
        <v>0</v>
      </c>
      <c r="E21" s="91">
        <v>0</v>
      </c>
      <c r="F21" s="91">
        <v>0</v>
      </c>
      <c r="G21" s="239">
        <v>0</v>
      </c>
      <c r="H21" s="113">
        <v>20.463685802895935</v>
      </c>
      <c r="I21" s="183">
        <v>0</v>
      </c>
      <c r="J21" s="248">
        <v>0</v>
      </c>
      <c r="K21" s="248">
        <v>0</v>
      </c>
      <c r="L21" s="388">
        <v>11.667761056538843</v>
      </c>
      <c r="M21" s="388">
        <v>14.198179952255945</v>
      </c>
      <c r="N21" s="451">
        <v>8.3543240491890423</v>
      </c>
      <c r="O21" s="90">
        <v>16.992047784308415</v>
      </c>
      <c r="P21" s="91">
        <v>14.63503636608038</v>
      </c>
      <c r="Q21" s="91">
        <v>12.292678041629516</v>
      </c>
      <c r="R21" s="91">
        <v>12.376575938660526</v>
      </c>
      <c r="S21" s="253">
        <v>12.441642206985428</v>
      </c>
      <c r="T21" s="91">
        <f>SUM(O21:S21)</f>
        <v>68.737980337664254</v>
      </c>
      <c r="U21" s="55"/>
      <c r="W21" s="158"/>
    </row>
    <row r="22" spans="3:27" x14ac:dyDescent="0.3">
      <c r="C22" s="1" t="s">
        <v>45</v>
      </c>
      <c r="D22" s="91">
        <v>29.614305869999999</v>
      </c>
      <c r="E22" s="91">
        <v>24.698322760000003</v>
      </c>
      <c r="F22" s="91">
        <v>22.796053150000002</v>
      </c>
      <c r="G22" s="239">
        <v>44.588195179126274</v>
      </c>
      <c r="H22" s="113">
        <v>25.80343545241022</v>
      </c>
      <c r="I22" s="183">
        <v>20.721716740000002</v>
      </c>
      <c r="J22" s="248">
        <v>33.484468709999994</v>
      </c>
      <c r="K22" s="248">
        <v>54.779896070000007</v>
      </c>
      <c r="L22" s="388">
        <v>53.60302063114311</v>
      </c>
      <c r="M22" s="388">
        <v>53.731550893861503</v>
      </c>
      <c r="N22" s="451">
        <v>27.473509049979015</v>
      </c>
      <c r="O22" s="90">
        <v>55.328546592788328</v>
      </c>
      <c r="P22" s="91">
        <v>55.812411072523169</v>
      </c>
      <c r="Q22" s="91">
        <v>56.514914078255742</v>
      </c>
      <c r="R22" s="91">
        <v>57.500951784678783</v>
      </c>
      <c r="S22" s="253">
        <v>58.36556976615163</v>
      </c>
      <c r="T22" s="91">
        <f t="shared" ref="T22:T28" si="3">SUM(O22:S22)</f>
        <v>283.52239329439766</v>
      </c>
      <c r="U22" s="55"/>
      <c r="W22" s="158"/>
    </row>
    <row r="23" spans="3:27" x14ac:dyDescent="0.3">
      <c r="C23" s="1" t="s">
        <v>48</v>
      </c>
      <c r="D23" s="91">
        <v>0</v>
      </c>
      <c r="E23" s="91">
        <v>0</v>
      </c>
      <c r="F23" s="91">
        <v>0</v>
      </c>
      <c r="G23" s="239">
        <v>0</v>
      </c>
      <c r="H23" s="113">
        <v>0</v>
      </c>
      <c r="I23" s="183">
        <v>0</v>
      </c>
      <c r="J23" s="248">
        <v>0</v>
      </c>
      <c r="K23" s="248">
        <v>0</v>
      </c>
      <c r="L23" s="388">
        <v>0</v>
      </c>
      <c r="M23" s="388">
        <v>0</v>
      </c>
      <c r="N23" s="451">
        <v>0</v>
      </c>
      <c r="O23" s="90">
        <v>0</v>
      </c>
      <c r="P23" s="91">
        <v>0</v>
      </c>
      <c r="Q23" s="91">
        <v>0</v>
      </c>
      <c r="R23" s="91">
        <v>0</v>
      </c>
      <c r="S23" s="253">
        <v>0</v>
      </c>
      <c r="T23" s="91">
        <f t="shared" si="3"/>
        <v>0</v>
      </c>
      <c r="W23" s="158"/>
    </row>
    <row r="24" spans="3:27" x14ac:dyDescent="0.3">
      <c r="C24" s="1" t="s">
        <v>49</v>
      </c>
      <c r="D24" s="91">
        <v>0</v>
      </c>
      <c r="E24" s="91">
        <v>0</v>
      </c>
      <c r="F24" s="91">
        <v>0</v>
      </c>
      <c r="G24" s="239">
        <v>0</v>
      </c>
      <c r="H24" s="113">
        <v>0</v>
      </c>
      <c r="I24" s="183">
        <v>0</v>
      </c>
      <c r="J24" s="248">
        <v>0</v>
      </c>
      <c r="K24" s="248">
        <v>0</v>
      </c>
      <c r="L24" s="388">
        <v>0</v>
      </c>
      <c r="M24" s="388">
        <v>0</v>
      </c>
      <c r="N24" s="451">
        <v>0</v>
      </c>
      <c r="O24" s="90">
        <v>0</v>
      </c>
      <c r="P24" s="91">
        <v>0</v>
      </c>
      <c r="Q24" s="91">
        <v>0</v>
      </c>
      <c r="R24" s="91">
        <v>0</v>
      </c>
      <c r="S24" s="253">
        <v>0</v>
      </c>
      <c r="T24" s="91">
        <f t="shared" si="3"/>
        <v>0</v>
      </c>
      <c r="W24" s="158"/>
    </row>
    <row r="25" spans="3:27" x14ac:dyDescent="0.3">
      <c r="C25" s="1" t="s">
        <v>520</v>
      </c>
      <c r="D25" s="91"/>
      <c r="E25" s="91"/>
      <c r="F25" s="91"/>
      <c r="G25" s="239"/>
      <c r="H25" s="113"/>
      <c r="I25" s="183">
        <v>0</v>
      </c>
      <c r="J25" s="248">
        <v>0</v>
      </c>
      <c r="K25" s="248">
        <v>0</v>
      </c>
      <c r="L25" s="388">
        <v>0</v>
      </c>
      <c r="M25" s="388">
        <v>0</v>
      </c>
      <c r="N25" s="451">
        <v>0</v>
      </c>
      <c r="O25" s="90">
        <v>0</v>
      </c>
      <c r="P25" s="91">
        <v>0</v>
      </c>
      <c r="Q25" s="91">
        <v>0</v>
      </c>
      <c r="R25" s="91">
        <v>0</v>
      </c>
      <c r="S25" s="253">
        <v>0</v>
      </c>
      <c r="T25" s="91">
        <f t="shared" ref="T25" si="4">SUM(O25:S25)</f>
        <v>0</v>
      </c>
      <c r="W25" s="158"/>
    </row>
    <row r="26" spans="3:27" x14ac:dyDescent="0.3">
      <c r="C26" s="1" t="s">
        <v>50</v>
      </c>
      <c r="D26" s="91">
        <v>0</v>
      </c>
      <c r="E26" s="91">
        <v>0</v>
      </c>
      <c r="F26" s="91">
        <v>0</v>
      </c>
      <c r="G26" s="239">
        <v>0</v>
      </c>
      <c r="H26" s="113">
        <v>0</v>
      </c>
      <c r="I26" s="183">
        <v>0</v>
      </c>
      <c r="J26" s="248">
        <v>0</v>
      </c>
      <c r="K26" s="248">
        <v>0</v>
      </c>
      <c r="L26" s="388">
        <v>0</v>
      </c>
      <c r="M26" s="388">
        <v>0</v>
      </c>
      <c r="N26" s="451">
        <v>0</v>
      </c>
      <c r="O26" s="90">
        <v>0</v>
      </c>
      <c r="P26" s="91">
        <v>0</v>
      </c>
      <c r="Q26" s="91">
        <v>0</v>
      </c>
      <c r="R26" s="91">
        <v>0</v>
      </c>
      <c r="S26" s="253">
        <v>0</v>
      </c>
      <c r="T26" s="91">
        <f t="shared" si="3"/>
        <v>0</v>
      </c>
      <c r="W26" s="158"/>
    </row>
    <row r="27" spans="3:27" x14ac:dyDescent="0.3">
      <c r="C27" s="1" t="s">
        <v>590</v>
      </c>
      <c r="D27" s="91"/>
      <c r="E27" s="91"/>
      <c r="F27" s="91"/>
      <c r="G27" s="239"/>
      <c r="H27" s="113"/>
      <c r="I27" s="183">
        <v>0</v>
      </c>
      <c r="J27" s="248">
        <v>0</v>
      </c>
      <c r="K27" s="248">
        <v>0</v>
      </c>
      <c r="L27" s="388">
        <v>0</v>
      </c>
      <c r="M27" s="388">
        <v>0</v>
      </c>
      <c r="N27" s="451">
        <v>0</v>
      </c>
      <c r="O27" s="90">
        <v>0</v>
      </c>
      <c r="P27" s="91">
        <v>0</v>
      </c>
      <c r="Q27" s="91">
        <v>0</v>
      </c>
      <c r="R27" s="91">
        <v>0</v>
      </c>
      <c r="S27" s="253">
        <v>0</v>
      </c>
      <c r="T27" s="91">
        <f t="shared" si="3"/>
        <v>0</v>
      </c>
      <c r="W27" s="158"/>
    </row>
    <row r="28" spans="3:27" x14ac:dyDescent="0.3">
      <c r="C28" s="1" t="s">
        <v>397</v>
      </c>
      <c r="D28" s="92">
        <v>0</v>
      </c>
      <c r="E28" s="92">
        <v>0</v>
      </c>
      <c r="F28" s="92">
        <v>0</v>
      </c>
      <c r="G28" s="237">
        <v>0</v>
      </c>
      <c r="H28" s="92">
        <v>0</v>
      </c>
      <c r="I28" s="184">
        <v>0</v>
      </c>
      <c r="J28" s="249">
        <v>0</v>
      </c>
      <c r="K28" s="249">
        <v>0</v>
      </c>
      <c r="L28" s="389">
        <v>0</v>
      </c>
      <c r="M28" s="389">
        <v>0</v>
      </c>
      <c r="N28" s="452">
        <v>0</v>
      </c>
      <c r="O28" s="241">
        <v>0</v>
      </c>
      <c r="P28" s="92">
        <v>0</v>
      </c>
      <c r="Q28" s="92">
        <v>0</v>
      </c>
      <c r="R28" s="92">
        <v>0</v>
      </c>
      <c r="S28" s="254">
        <v>0</v>
      </c>
      <c r="T28" s="92">
        <f t="shared" si="3"/>
        <v>0</v>
      </c>
      <c r="W28" s="158"/>
    </row>
    <row r="29" spans="3:27" x14ac:dyDescent="0.3">
      <c r="C29" s="57" t="s">
        <v>146</v>
      </c>
      <c r="D29" s="91">
        <f t="shared" ref="D29:T29" si="5">SUM(D21:D28)</f>
        <v>29.614305869999999</v>
      </c>
      <c r="E29" s="91">
        <f t="shared" si="5"/>
        <v>24.698322760000003</v>
      </c>
      <c r="F29" s="91">
        <f t="shared" si="5"/>
        <v>22.796053150000002</v>
      </c>
      <c r="G29" s="239">
        <f t="shared" si="5"/>
        <v>44.588195179126274</v>
      </c>
      <c r="H29" s="113">
        <f t="shared" si="5"/>
        <v>46.267121255306151</v>
      </c>
      <c r="I29" s="90">
        <f t="shared" si="5"/>
        <v>20.721716740000002</v>
      </c>
      <c r="J29" s="91">
        <f t="shared" si="5"/>
        <v>33.484468709999994</v>
      </c>
      <c r="K29" s="91">
        <f t="shared" si="5"/>
        <v>54.779896070000007</v>
      </c>
      <c r="L29" s="91">
        <f t="shared" si="5"/>
        <v>65.270781687681961</v>
      </c>
      <c r="M29" s="91">
        <f t="shared" si="5"/>
        <v>67.929730846117451</v>
      </c>
      <c r="N29" s="346">
        <f t="shared" si="5"/>
        <v>35.82783309916806</v>
      </c>
      <c r="O29" s="90">
        <f t="shared" si="5"/>
        <v>72.320594377096739</v>
      </c>
      <c r="P29" s="91">
        <f t="shared" si="5"/>
        <v>70.447447438603547</v>
      </c>
      <c r="Q29" s="91">
        <f t="shared" si="5"/>
        <v>68.807592119885257</v>
      </c>
      <c r="R29" s="91">
        <f t="shared" si="5"/>
        <v>69.877527723339313</v>
      </c>
      <c r="S29" s="253">
        <f t="shared" si="5"/>
        <v>70.807211973137058</v>
      </c>
      <c r="T29" s="91">
        <f t="shared" si="5"/>
        <v>352.26037363206194</v>
      </c>
      <c r="W29" s="158"/>
    </row>
    <row r="30" spans="3:27" x14ac:dyDescent="0.3">
      <c r="C30" s="53" t="s">
        <v>133</v>
      </c>
      <c r="G30" s="41"/>
      <c r="H30" s="41"/>
      <c r="L30" s="247">
        <v>0</v>
      </c>
      <c r="M30" s="247">
        <v>0</v>
      </c>
      <c r="N30" s="247">
        <v>0</v>
      </c>
      <c r="O30" s="247">
        <v>0</v>
      </c>
      <c r="P30" s="247">
        <v>0</v>
      </c>
      <c r="Q30" s="247">
        <v>0</v>
      </c>
      <c r="R30" s="247">
        <v>0</v>
      </c>
      <c r="S30" s="247">
        <v>0</v>
      </c>
      <c r="W30" s="158"/>
    </row>
    <row r="31" spans="3:27" x14ac:dyDescent="0.3">
      <c r="C31" s="2" t="s">
        <v>396</v>
      </c>
      <c r="D31" s="43">
        <v>2011</v>
      </c>
      <c r="E31" s="43">
        <v>2012</v>
      </c>
      <c r="F31" s="43">
        <v>2013</v>
      </c>
      <c r="G31" s="240">
        <v>2014</v>
      </c>
      <c r="H31" s="87">
        <v>2015</v>
      </c>
      <c r="I31" s="238">
        <v>2016</v>
      </c>
      <c r="J31" s="43">
        <v>2017</v>
      </c>
      <c r="K31" s="36">
        <v>2018</v>
      </c>
      <c r="L31" s="226">
        <f>CP_Yr_4</f>
        <v>43800</v>
      </c>
      <c r="M31" s="226">
        <f>CP_Yr_5</f>
        <v>44166</v>
      </c>
      <c r="N31" s="347">
        <f>Stub</f>
        <v>44377</v>
      </c>
      <c r="O31" s="339">
        <f>Yr_1</f>
        <v>44742</v>
      </c>
      <c r="P31" s="226">
        <f>Yr_2</f>
        <v>45107</v>
      </c>
      <c r="Q31" s="226">
        <f>Yr_3</f>
        <v>45473</v>
      </c>
      <c r="R31" s="226">
        <f>Yr_4</f>
        <v>45838</v>
      </c>
      <c r="S31" s="345">
        <f>Yr_5</f>
        <v>46203</v>
      </c>
      <c r="T31" s="232" t="str">
        <f>NReg_Period</f>
        <v>2022-26</v>
      </c>
      <c r="W31" s="158"/>
    </row>
    <row r="32" spans="3:27" ht="6" customHeight="1" x14ac:dyDescent="0.3">
      <c r="G32" s="41"/>
      <c r="H32" s="41"/>
      <c r="I32" s="38"/>
      <c r="N32" s="32"/>
      <c r="O32" s="38"/>
      <c r="S32" s="252"/>
      <c r="W32" s="158"/>
    </row>
    <row r="33" spans="3:23" x14ac:dyDescent="0.3">
      <c r="C33" s="1" t="s">
        <v>44</v>
      </c>
      <c r="D33" s="91">
        <f>ROUND(D9-D21,8)</f>
        <v>22.22141697</v>
      </c>
      <c r="E33" s="91">
        <f t="shared" ref="E33:S33" si="6">E9-E21</f>
        <v>44.068269104737396</v>
      </c>
      <c r="F33" s="91">
        <f t="shared" si="6"/>
        <v>63.80349995248401</v>
      </c>
      <c r="G33" s="239">
        <f t="shared" si="6"/>
        <v>63.116820701394637</v>
      </c>
      <c r="H33" s="113">
        <f t="shared" si="6"/>
        <v>15.406026395301641</v>
      </c>
      <c r="I33" s="183">
        <f t="shared" si="6"/>
        <v>30.400947985309521</v>
      </c>
      <c r="J33" s="248">
        <f t="shared" si="6"/>
        <v>31.049051671191918</v>
      </c>
      <c r="K33" s="248">
        <f t="shared" si="6"/>
        <v>49.418701188718934</v>
      </c>
      <c r="L33" s="388">
        <f t="shared" si="6"/>
        <v>59.752295918628214</v>
      </c>
      <c r="M33" s="388">
        <f t="shared" si="6"/>
        <v>72.370972963544006</v>
      </c>
      <c r="N33" s="451">
        <f t="shared" si="6"/>
        <v>30.724163824744483</v>
      </c>
      <c r="O33" s="90">
        <f t="shared" si="6"/>
        <v>44.83571106589558</v>
      </c>
      <c r="P33" s="91">
        <f t="shared" si="6"/>
        <v>57.478344420754858</v>
      </c>
      <c r="Q33" s="91">
        <f t="shared" si="6"/>
        <v>59.380370446435208</v>
      </c>
      <c r="R33" s="91">
        <f t="shared" si="6"/>
        <v>47.216626389963409</v>
      </c>
      <c r="S33" s="253">
        <f t="shared" si="6"/>
        <v>36.029965671375443</v>
      </c>
      <c r="T33" s="91">
        <f>SUM(O33:S33)</f>
        <v>244.9410179944245</v>
      </c>
      <c r="W33" s="158"/>
    </row>
    <row r="34" spans="3:23" x14ac:dyDescent="0.3">
      <c r="C34" s="1" t="s">
        <v>45</v>
      </c>
      <c r="D34" s="91">
        <f>D10-D22</f>
        <v>184.60461494260306</v>
      </c>
      <c r="E34" s="91">
        <f t="shared" ref="E34:S34" si="7">E10-E22</f>
        <v>204.3576989753418</v>
      </c>
      <c r="F34" s="91">
        <f t="shared" si="7"/>
        <v>241.40917136001659</v>
      </c>
      <c r="G34" s="239">
        <f t="shared" si="7"/>
        <v>281.80539407253184</v>
      </c>
      <c r="H34" s="113">
        <f t="shared" si="7"/>
        <v>259.98933954107486</v>
      </c>
      <c r="I34" s="183">
        <f t="shared" si="7"/>
        <v>225.14320809540669</v>
      </c>
      <c r="J34" s="248">
        <f t="shared" si="7"/>
        <v>228.29057989062625</v>
      </c>
      <c r="K34" s="248">
        <f t="shared" si="7"/>
        <v>238.19398705868701</v>
      </c>
      <c r="L34" s="388">
        <f t="shared" si="7"/>
        <v>210.36288222967244</v>
      </c>
      <c r="M34" s="388">
        <f t="shared" si="7"/>
        <v>228.69570184365799</v>
      </c>
      <c r="N34" s="451">
        <f t="shared" si="7"/>
        <v>112.78610173140308</v>
      </c>
      <c r="O34" s="90">
        <f t="shared" si="7"/>
        <v>179.47410000183788</v>
      </c>
      <c r="P34" s="91">
        <f t="shared" si="7"/>
        <v>174.73859550152537</v>
      </c>
      <c r="Q34" s="91">
        <f t="shared" si="7"/>
        <v>168.44512082061061</v>
      </c>
      <c r="R34" s="91">
        <f t="shared" si="7"/>
        <v>168.7669354584761</v>
      </c>
      <c r="S34" s="253">
        <f t="shared" si="7"/>
        <v>178.22825907759676</v>
      </c>
      <c r="T34" s="91">
        <f t="shared" ref="T34:T40" si="8">SUM(O34:S34)</f>
        <v>869.65301086004661</v>
      </c>
      <c r="W34" s="158"/>
    </row>
    <row r="35" spans="3:23" x14ac:dyDescent="0.3">
      <c r="C35" s="1" t="s">
        <v>48</v>
      </c>
      <c r="D35" s="91">
        <f>D11-D23</f>
        <v>1.2689451272140742</v>
      </c>
      <c r="E35" s="91">
        <f t="shared" ref="E35:S35" si="9">E11-E23</f>
        <v>5.9134930672221477</v>
      </c>
      <c r="F35" s="91">
        <f t="shared" si="9"/>
        <v>1.9250731948508306</v>
      </c>
      <c r="G35" s="239">
        <f t="shared" si="9"/>
        <v>0.73591031805575635</v>
      </c>
      <c r="H35" s="113">
        <f t="shared" si="9"/>
        <v>0.17932764715778621</v>
      </c>
      <c r="I35" s="183">
        <f t="shared" si="9"/>
        <v>7.6967139695411237</v>
      </c>
      <c r="J35" s="248">
        <f t="shared" si="9"/>
        <v>19.798756866485995</v>
      </c>
      <c r="K35" s="248">
        <f t="shared" si="9"/>
        <v>23.110468226893353</v>
      </c>
      <c r="L35" s="388">
        <f t="shared" si="9"/>
        <v>24.510469896199112</v>
      </c>
      <c r="M35" s="388">
        <f t="shared" si="9"/>
        <v>31.578434201847418</v>
      </c>
      <c r="N35" s="451">
        <f t="shared" si="9"/>
        <v>14.325025779527234</v>
      </c>
      <c r="O35" s="90">
        <f t="shared" si="9"/>
        <v>29.392006233575056</v>
      </c>
      <c r="P35" s="91">
        <f t="shared" si="9"/>
        <v>21.598413520345556</v>
      </c>
      <c r="Q35" s="91">
        <f t="shared" si="9"/>
        <v>21.475357294304526</v>
      </c>
      <c r="R35" s="91">
        <f t="shared" si="9"/>
        <v>23.386128901552159</v>
      </c>
      <c r="S35" s="253">
        <f t="shared" si="9"/>
        <v>19.596080783097069</v>
      </c>
      <c r="T35" s="91">
        <f t="shared" si="8"/>
        <v>115.44798673287436</v>
      </c>
      <c r="W35" s="158"/>
    </row>
    <row r="36" spans="3:23" x14ac:dyDescent="0.3">
      <c r="C36" s="1" t="s">
        <v>49</v>
      </c>
      <c r="D36" s="91">
        <f>D12-D24</f>
        <v>46.619225442675479</v>
      </c>
      <c r="E36" s="91">
        <f t="shared" ref="E36:S36" si="10">E12-E24</f>
        <v>45.516156927547812</v>
      </c>
      <c r="F36" s="91">
        <f t="shared" si="10"/>
        <v>50.208650819470257</v>
      </c>
      <c r="G36" s="239">
        <f t="shared" si="10"/>
        <v>33.026078626827349</v>
      </c>
      <c r="H36" s="113">
        <f t="shared" si="10"/>
        <v>32.021862128714794</v>
      </c>
      <c r="I36" s="183">
        <f t="shared" si="10"/>
        <v>14.368095063742029</v>
      </c>
      <c r="J36" s="248">
        <f t="shared" si="10"/>
        <v>40.489560731237674</v>
      </c>
      <c r="K36" s="248">
        <f t="shared" si="10"/>
        <v>29.741096969431066</v>
      </c>
      <c r="L36" s="388">
        <f t="shared" si="10"/>
        <v>47.140460930907821</v>
      </c>
      <c r="M36" s="388">
        <f t="shared" si="10"/>
        <v>48.479463193455395</v>
      </c>
      <c r="N36" s="451">
        <f t="shared" si="10"/>
        <v>20.102988436245845</v>
      </c>
      <c r="O36" s="90">
        <f t="shared" si="10"/>
        <v>38.300502219730852</v>
      </c>
      <c r="P36" s="91">
        <f t="shared" si="10"/>
        <v>29.954303105002271</v>
      </c>
      <c r="Q36" s="91">
        <f t="shared" si="10"/>
        <v>38.167610311653085</v>
      </c>
      <c r="R36" s="91">
        <f t="shared" si="10"/>
        <v>30.175799950344306</v>
      </c>
      <c r="S36" s="253">
        <f t="shared" si="10"/>
        <v>28.849509632501292</v>
      </c>
      <c r="T36" s="91">
        <f t="shared" si="8"/>
        <v>165.44772521923178</v>
      </c>
      <c r="W36" s="158"/>
    </row>
    <row r="37" spans="3:23" x14ac:dyDescent="0.3">
      <c r="C37" s="1" t="s">
        <v>520</v>
      </c>
      <c r="D37" s="91"/>
      <c r="E37" s="91"/>
      <c r="F37" s="91"/>
      <c r="G37" s="239"/>
      <c r="H37" s="113"/>
      <c r="I37" s="183">
        <v>0</v>
      </c>
      <c r="J37" s="248">
        <v>0</v>
      </c>
      <c r="K37" s="248">
        <v>0</v>
      </c>
      <c r="L37" s="388">
        <f t="shared" ref="L37:S40" si="11">L13-L25</f>
        <v>13.383272427123755</v>
      </c>
      <c r="M37" s="388">
        <f t="shared" si="11"/>
        <v>14.08284785264847</v>
      </c>
      <c r="N37" s="451">
        <f t="shared" si="11"/>
        <v>3.6422279982897927</v>
      </c>
      <c r="O37" s="90">
        <f t="shared" si="11"/>
        <v>9.8200646770492241</v>
      </c>
      <c r="P37" s="91">
        <f t="shared" si="11"/>
        <v>4.3610999589322805</v>
      </c>
      <c r="Q37" s="91">
        <f t="shared" si="11"/>
        <v>0.71711853916956292</v>
      </c>
      <c r="R37" s="91">
        <f t="shared" si="11"/>
        <v>0</v>
      </c>
      <c r="S37" s="253">
        <f t="shared" si="11"/>
        <v>0.74288306782385605</v>
      </c>
      <c r="T37" s="91">
        <f t="shared" ref="T37" si="12">SUM(O37:S37)</f>
        <v>15.641166242974924</v>
      </c>
      <c r="W37" s="158"/>
    </row>
    <row r="38" spans="3:23" x14ac:dyDescent="0.3">
      <c r="C38" s="1" t="s">
        <v>50</v>
      </c>
      <c r="D38" s="91">
        <f t="shared" ref="D38:K38" si="13">D14-D26</f>
        <v>5.0265670949548289</v>
      </c>
      <c r="E38" s="91">
        <f t="shared" si="13"/>
        <v>6.5548071296747672</v>
      </c>
      <c r="F38" s="91">
        <f t="shared" si="13"/>
        <v>6.1607829749307585</v>
      </c>
      <c r="G38" s="239">
        <f t="shared" si="13"/>
        <v>4.9603971712309995</v>
      </c>
      <c r="H38" s="113">
        <f t="shared" si="13"/>
        <v>6.0558664631467227</v>
      </c>
      <c r="I38" s="183">
        <f t="shared" si="13"/>
        <v>6.3273896305075334</v>
      </c>
      <c r="J38" s="248">
        <f t="shared" si="13"/>
        <v>5.4221105210662968</v>
      </c>
      <c r="K38" s="248">
        <f t="shared" si="13"/>
        <v>17.16343154079755</v>
      </c>
      <c r="L38" s="388">
        <f t="shared" si="11"/>
        <v>6.9957145345187737</v>
      </c>
      <c r="M38" s="388">
        <f t="shared" si="11"/>
        <v>5.56172532142857</v>
      </c>
      <c r="N38" s="451">
        <f t="shared" si="11"/>
        <v>4.0196303404444453</v>
      </c>
      <c r="O38" s="90">
        <f t="shared" si="11"/>
        <v>9.10646761507906</v>
      </c>
      <c r="P38" s="91">
        <f t="shared" si="11"/>
        <v>7.7036806470087118</v>
      </c>
      <c r="Q38" s="91">
        <f t="shared" si="11"/>
        <v>7.2097134878066518</v>
      </c>
      <c r="R38" s="91">
        <f t="shared" si="11"/>
        <v>10.477932776197964</v>
      </c>
      <c r="S38" s="253">
        <f t="shared" si="11"/>
        <v>13.154315788797099</v>
      </c>
      <c r="T38" s="91">
        <f t="shared" si="8"/>
        <v>47.652110314889491</v>
      </c>
      <c r="W38" s="158"/>
    </row>
    <row r="39" spans="3:23" x14ac:dyDescent="0.3">
      <c r="C39" s="1" t="s">
        <v>590</v>
      </c>
      <c r="D39" s="91"/>
      <c r="E39" s="91"/>
      <c r="F39" s="91"/>
      <c r="G39" s="239"/>
      <c r="H39" s="113"/>
      <c r="I39" s="183">
        <f t="shared" ref="I39:K40" si="14">I15-I27</f>
        <v>0</v>
      </c>
      <c r="J39" s="248">
        <f t="shared" si="14"/>
        <v>0</v>
      </c>
      <c r="K39" s="248">
        <f t="shared" si="14"/>
        <v>0</v>
      </c>
      <c r="L39" s="388">
        <f t="shared" si="11"/>
        <v>31.730577680500581</v>
      </c>
      <c r="M39" s="388">
        <f t="shared" si="11"/>
        <v>0.33142974144065346</v>
      </c>
      <c r="N39" s="451">
        <f t="shared" si="11"/>
        <v>0.16101271048294152</v>
      </c>
      <c r="O39" s="90">
        <f t="shared" si="11"/>
        <v>1.3117796955947785</v>
      </c>
      <c r="P39" s="91">
        <f t="shared" si="11"/>
        <v>0</v>
      </c>
      <c r="Q39" s="91">
        <f t="shared" si="11"/>
        <v>0</v>
      </c>
      <c r="R39" s="91">
        <f t="shared" si="11"/>
        <v>0</v>
      </c>
      <c r="S39" s="253">
        <f t="shared" si="11"/>
        <v>4.8675224240832415</v>
      </c>
      <c r="T39" s="91">
        <f t="shared" ref="T39" si="15">SUM(O39:S39)</f>
        <v>6.1793021196780202</v>
      </c>
      <c r="W39" s="158"/>
    </row>
    <row r="40" spans="3:23" x14ac:dyDescent="0.3">
      <c r="C40" s="1" t="s">
        <v>397</v>
      </c>
      <c r="D40" s="92">
        <f>D16-D28</f>
        <v>0</v>
      </c>
      <c r="E40" s="92">
        <f>E16-E28</f>
        <v>0</v>
      </c>
      <c r="F40" s="92">
        <f>F16-F28</f>
        <v>0</v>
      </c>
      <c r="G40" s="237">
        <f>G16-G28</f>
        <v>0</v>
      </c>
      <c r="H40" s="92">
        <f>H16-H28</f>
        <v>0</v>
      </c>
      <c r="I40" s="184">
        <f t="shared" si="14"/>
        <v>0</v>
      </c>
      <c r="J40" s="249">
        <f t="shared" si="14"/>
        <v>5.416926296826443E-2</v>
      </c>
      <c r="K40" s="249">
        <f t="shared" si="14"/>
        <v>0</v>
      </c>
      <c r="L40" s="389">
        <f t="shared" si="11"/>
        <v>2.7807949214944668E-2</v>
      </c>
      <c r="M40" s="389">
        <f t="shared" si="11"/>
        <v>1.6521042463376359</v>
      </c>
      <c r="N40" s="452">
        <f t="shared" si="11"/>
        <v>2.0127897242154011E-2</v>
      </c>
      <c r="O40" s="241">
        <f t="shared" si="11"/>
        <v>3.4640556735496215E-2</v>
      </c>
      <c r="P40" s="92">
        <f t="shared" si="11"/>
        <v>0.36611015044618322</v>
      </c>
      <c r="Q40" s="92">
        <f t="shared" si="11"/>
        <v>0.63759126607844396</v>
      </c>
      <c r="R40" s="92">
        <f t="shared" si="11"/>
        <v>0.92609055231018367</v>
      </c>
      <c r="S40" s="254">
        <f t="shared" si="11"/>
        <v>1.0048340973034031</v>
      </c>
      <c r="T40" s="92">
        <f t="shared" si="8"/>
        <v>2.9692666228737101</v>
      </c>
      <c r="W40" s="158"/>
    </row>
    <row r="41" spans="3:23" x14ac:dyDescent="0.3">
      <c r="C41" s="57" t="s">
        <v>146</v>
      </c>
      <c r="D41" s="91">
        <f>SUM(D33:D40)</f>
        <v>259.74076957744745</v>
      </c>
      <c r="E41" s="91">
        <f>SUM(E33:E40)</f>
        <v>306.4104252045239</v>
      </c>
      <c r="F41" s="91">
        <f>SUM(F33:F40)</f>
        <v>363.5071783017525</v>
      </c>
      <c r="G41" s="239">
        <f>SUM(G33:G40)</f>
        <v>383.64460089004064</v>
      </c>
      <c r="H41" s="113">
        <f>SUM(H33:H40)</f>
        <v>313.65242217539583</v>
      </c>
      <c r="I41" s="90">
        <f t="shared" ref="I41:T41" si="16">SUM(I33:I40)</f>
        <v>283.9363547445069</v>
      </c>
      <c r="J41" s="91">
        <f t="shared" si="16"/>
        <v>325.1042289435764</v>
      </c>
      <c r="K41" s="91">
        <f t="shared" si="16"/>
        <v>357.62768498452795</v>
      </c>
      <c r="L41" s="91">
        <f t="shared" si="16"/>
        <v>393.90348156676555</v>
      </c>
      <c r="M41" s="91">
        <f t="shared" si="16"/>
        <v>402.75267936436012</v>
      </c>
      <c r="N41" s="346">
        <f t="shared" si="16"/>
        <v>185.78127871838001</v>
      </c>
      <c r="O41" s="90">
        <f t="shared" si="16"/>
        <v>312.27527206549792</v>
      </c>
      <c r="P41" s="91">
        <f t="shared" si="16"/>
        <v>296.20054730401523</v>
      </c>
      <c r="Q41" s="91">
        <f t="shared" si="16"/>
        <v>296.03288216605813</v>
      </c>
      <c r="R41" s="91">
        <f t="shared" si="16"/>
        <v>280.94951402884413</v>
      </c>
      <c r="S41" s="253">
        <f t="shared" si="16"/>
        <v>282.47337054257815</v>
      </c>
      <c r="T41" s="91">
        <f t="shared" si="16"/>
        <v>1467.9315861069936</v>
      </c>
      <c r="W41" s="158"/>
    </row>
    <row r="42" spans="3:23" x14ac:dyDescent="0.3">
      <c r="C42" s="53" t="s">
        <v>133</v>
      </c>
      <c r="L42" s="247"/>
      <c r="M42" s="247"/>
      <c r="N42" s="247"/>
      <c r="O42" s="247">
        <v>0</v>
      </c>
      <c r="P42" s="247">
        <v>0</v>
      </c>
      <c r="Q42" s="247">
        <v>0</v>
      </c>
      <c r="R42" s="247">
        <v>0</v>
      </c>
      <c r="S42" s="247">
        <v>0</v>
      </c>
    </row>
  </sheetData>
  <mergeCells count="3">
    <mergeCell ref="O5:S5"/>
    <mergeCell ref="D5:H5"/>
    <mergeCell ref="I5:N5"/>
  </mergeCells>
  <hyperlinks>
    <hyperlink ref="B2" location="Contents!A1" display="Table of Contents" xr:uid="{00000000-0004-0000-2200-000000000000}"/>
  </hyperlinks>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47C50-720F-4D5A-84AB-49CDB26DD456}">
  <dimension ref="B1:Q39"/>
  <sheetViews>
    <sheetView zoomScale="85" zoomScaleNormal="85" workbookViewId="0">
      <pane ySplit="3" topLeftCell="A4" activePane="bottomLeft" state="frozen"/>
      <selection pane="bottomLeft" activeCell="O7" sqref="O7"/>
    </sheetView>
  </sheetViews>
  <sheetFormatPr defaultRowHeight="14.4" outlineLevelCol="1" x14ac:dyDescent="0.3"/>
  <cols>
    <col min="1" max="1" width="4.5546875" style="1" customWidth="1"/>
    <col min="2" max="2" width="4.44140625" style="1" customWidth="1"/>
    <col min="3" max="3" width="39.44140625" style="1" customWidth="1"/>
    <col min="4" max="4" width="8.88671875" style="1" hidden="1" customWidth="1" outlineLevel="1"/>
    <col min="5" max="5" width="8.88671875" style="1" collapsed="1"/>
    <col min="6" max="9" width="8.88671875" style="1"/>
    <col min="10" max="10" width="9.5546875" style="1" customWidth="1"/>
    <col min="11" max="15" width="8.88671875" style="1"/>
    <col min="16" max="16" width="9.44140625" style="1" bestFit="1" customWidth="1"/>
    <col min="17" max="16384" width="8.88671875" style="1"/>
  </cols>
  <sheetData>
    <row r="1" spans="2:16" ht="18" x14ac:dyDescent="0.35">
      <c r="B1" s="10" t="s">
        <v>726</v>
      </c>
      <c r="D1"/>
    </row>
    <row r="2" spans="2:16" x14ac:dyDescent="0.3">
      <c r="B2" s="25" t="s">
        <v>6</v>
      </c>
      <c r="D2"/>
    </row>
    <row r="3" spans="2:16" x14ac:dyDescent="0.3">
      <c r="D3" s="610" t="s">
        <v>717</v>
      </c>
      <c r="E3" s="611"/>
      <c r="F3" s="611"/>
      <c r="G3" s="611"/>
      <c r="H3" s="611"/>
      <c r="I3" s="611"/>
      <c r="J3" s="611"/>
      <c r="K3" s="611"/>
      <c r="L3" s="611"/>
      <c r="M3" s="611"/>
      <c r="N3" s="611"/>
      <c r="O3" s="612"/>
    </row>
    <row r="4" spans="2:16" x14ac:dyDescent="0.3">
      <c r="C4" s="468" t="s">
        <v>718</v>
      </c>
      <c r="D4" s="613" t="s">
        <v>700</v>
      </c>
      <c r="E4" s="614"/>
      <c r="F4" s="614"/>
      <c r="G4" s="615"/>
      <c r="H4" s="613" t="s">
        <v>286</v>
      </c>
      <c r="I4" s="614"/>
      <c r="J4" s="615"/>
      <c r="K4" s="616" t="s">
        <v>724</v>
      </c>
      <c r="L4" s="617"/>
      <c r="M4" s="617"/>
      <c r="N4" s="617"/>
      <c r="O4" s="618"/>
      <c r="P4" s="17" t="s">
        <v>146</v>
      </c>
    </row>
    <row r="5" spans="2:16" x14ac:dyDescent="0.3">
      <c r="C5" s="6" t="s">
        <v>723</v>
      </c>
      <c r="D5" s="466">
        <v>2015</v>
      </c>
      <c r="E5" s="464">
        <v>2016</v>
      </c>
      <c r="F5" s="465">
        <v>2017</v>
      </c>
      <c r="G5" s="466">
        <v>2018</v>
      </c>
      <c r="H5" s="465">
        <v>2019</v>
      </c>
      <c r="I5" s="466">
        <v>2020</v>
      </c>
      <c r="J5" s="465" t="s">
        <v>701</v>
      </c>
      <c r="K5" s="464" t="s">
        <v>621</v>
      </c>
      <c r="L5" s="465" t="s">
        <v>622</v>
      </c>
      <c r="M5" s="465" t="s">
        <v>623</v>
      </c>
      <c r="N5" s="465" t="s">
        <v>624</v>
      </c>
      <c r="O5" s="466" t="s">
        <v>625</v>
      </c>
      <c r="P5" s="17" t="s">
        <v>593</v>
      </c>
    </row>
    <row r="6" spans="2:16" x14ac:dyDescent="0.3">
      <c r="C6" s="32" t="s">
        <v>452</v>
      </c>
      <c r="D6" s="482">
        <v>20.51363056224319</v>
      </c>
      <c r="E6" s="483">
        <v>26.04310374371941</v>
      </c>
      <c r="F6" s="285">
        <v>28.067325766109576</v>
      </c>
      <c r="G6" s="484">
        <v>37.865597666616083</v>
      </c>
      <c r="H6" s="285">
        <v>32.163039719733497</v>
      </c>
      <c r="I6" s="484">
        <v>27.91148240452307</v>
      </c>
      <c r="J6" s="285">
        <v>11.384188199013863</v>
      </c>
      <c r="K6" s="485">
        <f>Capex_by_Driver!BL5+Capex_by_Driver!BL10</f>
        <v>19.647827743005351</v>
      </c>
      <c r="L6" s="289">
        <f>Capex_by_Driver!BM5+Capex_by_Driver!BM10</f>
        <v>22.036150718333705</v>
      </c>
      <c r="M6" s="289">
        <f>Capex_by_Driver!BN5+Capex_by_Driver!BN10</f>
        <v>19.414176837253159</v>
      </c>
      <c r="N6" s="289">
        <f>Capex_by_Driver!BO5+Capex_by_Driver!BO10</f>
        <v>15.701651112798023</v>
      </c>
      <c r="O6" s="289">
        <f>Capex_by_Driver!BP5+Capex_by_Driver!BP10</f>
        <v>15.41892660080433</v>
      </c>
      <c r="P6" s="486">
        <f>SUM(K6:O6)</f>
        <v>92.218733012194562</v>
      </c>
    </row>
    <row r="7" spans="2:16" x14ac:dyDescent="0.3">
      <c r="C7" s="32" t="s">
        <v>26</v>
      </c>
      <c r="D7" s="487">
        <v>88.659792506645246</v>
      </c>
      <c r="E7" s="483">
        <v>82.506407972026537</v>
      </c>
      <c r="F7" s="285">
        <v>84.850384362130526</v>
      </c>
      <c r="G7" s="484">
        <v>106.41776599605795</v>
      </c>
      <c r="H7" s="285">
        <v>108.3590114181135</v>
      </c>
      <c r="I7" s="484">
        <v>110.06850103579464</v>
      </c>
      <c r="J7" s="285">
        <v>56.121055179185639</v>
      </c>
      <c r="K7" s="485">
        <f>Capex_by_Driver!BL14</f>
        <v>113.60914286502626</v>
      </c>
      <c r="L7" s="289">
        <f>Capex_by_Driver!BM14</f>
        <v>111.99004015561263</v>
      </c>
      <c r="M7" s="289">
        <f>Capex_by_Driver!BN14</f>
        <v>110.69032767908172</v>
      </c>
      <c r="N7" s="289">
        <f>Capex_by_Driver!BO14</f>
        <v>112.32360784035738</v>
      </c>
      <c r="O7" s="289">
        <f>Capex_by_Driver!BP14</f>
        <v>113.82271568792737</v>
      </c>
      <c r="P7" s="486">
        <f t="shared" ref="P7:P20" si="0">SUM(K7:O7)</f>
        <v>562.43583422800543</v>
      </c>
    </row>
    <row r="8" spans="2:16" x14ac:dyDescent="0.3">
      <c r="C8" s="32" t="s">
        <v>150</v>
      </c>
      <c r="D8" s="487">
        <v>100.87946038035201</v>
      </c>
      <c r="E8" s="483">
        <v>87.556951871062722</v>
      </c>
      <c r="F8" s="285">
        <v>93.558711775296175</v>
      </c>
      <c r="G8" s="484">
        <v>113.6121889194022</v>
      </c>
      <c r="H8" s="285">
        <v>89.374966863970727</v>
      </c>
      <c r="I8" s="484">
        <v>92.1912915299026</v>
      </c>
      <c r="J8" s="285">
        <v>52.586600224570482</v>
      </c>
      <c r="K8" s="485">
        <f>Capex_by_Driver!BL18-K14</f>
        <v>133.12402223286875</v>
      </c>
      <c r="L8" s="289">
        <f>Capex_by_Driver!BM18-L14</f>
        <v>146.93211855635499</v>
      </c>
      <c r="M8" s="289">
        <f>Capex_by_Driver!BN18-M14</f>
        <v>147.79592968498881</v>
      </c>
      <c r="N8" s="289">
        <f>Capex_by_Driver!BO18-N14</f>
        <v>124.93624262592581</v>
      </c>
      <c r="O8" s="289">
        <f>Capex_by_Driver!BP18-O14</f>
        <v>103.27338410527285</v>
      </c>
      <c r="P8" s="486">
        <f t="shared" si="0"/>
        <v>656.06169720541118</v>
      </c>
    </row>
    <row r="9" spans="2:16" ht="15" x14ac:dyDescent="0.3">
      <c r="C9" s="32" t="s">
        <v>702</v>
      </c>
      <c r="D9" s="487">
        <v>139.33481082951229</v>
      </c>
      <c r="E9" s="483">
        <v>114.72610233566239</v>
      </c>
      <c r="F9" s="285">
        <v>84.796769154755182</v>
      </c>
      <c r="G9" s="484">
        <v>56.593608173395118</v>
      </c>
      <c r="H9" s="285">
        <v>47.171479897825627</v>
      </c>
      <c r="I9" s="484">
        <v>40.082192387259852</v>
      </c>
      <c r="J9" s="285">
        <v>16.676131571969442</v>
      </c>
      <c r="K9" s="485">
        <f>Capex_by_Driver!BL22-K10</f>
        <v>10.132794501145019</v>
      </c>
      <c r="L9" s="289">
        <f>Capex_by_Driver!BM22-L10</f>
        <v>12.487627883948182</v>
      </c>
      <c r="M9" s="289">
        <f>Capex_by_Driver!BN22-M10</f>
        <v>16.034417454052196</v>
      </c>
      <c r="N9" s="289">
        <f>Capex_by_Driver!BO22-N10</f>
        <v>22.817375451171024</v>
      </c>
      <c r="O9" s="289">
        <f>Capex_by_Driver!BP22-O10</f>
        <v>35.870335471860969</v>
      </c>
      <c r="P9" s="486">
        <f t="shared" si="0"/>
        <v>97.342550762177382</v>
      </c>
    </row>
    <row r="10" spans="2:16" x14ac:dyDescent="0.3">
      <c r="C10" s="32" t="s">
        <v>722</v>
      </c>
      <c r="D10" s="487">
        <v>0</v>
      </c>
      <c r="E10" s="483">
        <v>0</v>
      </c>
      <c r="F10" s="285">
        <v>0</v>
      </c>
      <c r="G10" s="484">
        <v>0</v>
      </c>
      <c r="H10" s="285">
        <v>0</v>
      </c>
      <c r="I10" s="484">
        <v>0</v>
      </c>
      <c r="J10" s="285">
        <v>0</v>
      </c>
      <c r="K10" s="485">
        <f>REFCL_view!G11/Thousands</f>
        <v>0</v>
      </c>
      <c r="L10" s="289">
        <f>REFCL_view!H11/Thousands</f>
        <v>12.005835724716793</v>
      </c>
      <c r="M10" s="289">
        <f>REFCL_view!I11/Thousands</f>
        <v>21.343613480876435</v>
      </c>
      <c r="N10" s="289">
        <f>REFCL_view!J11/Thousands</f>
        <v>30.775991688868444</v>
      </c>
      <c r="O10" s="289">
        <f>REFCL_view!K11/Thousands</f>
        <v>33.637208861343751</v>
      </c>
      <c r="P10" s="486">
        <f t="shared" si="0"/>
        <v>97.762649755805427</v>
      </c>
    </row>
    <row r="11" spans="2:16" x14ac:dyDescent="0.3">
      <c r="C11" s="32" t="s">
        <v>728</v>
      </c>
      <c r="D11" s="487">
        <v>0</v>
      </c>
      <c r="E11" s="483">
        <v>1.3127896293857328</v>
      </c>
      <c r="F11" s="285">
        <v>40.354727120998433</v>
      </c>
      <c r="G11" s="484">
        <v>72.347563701597267</v>
      </c>
      <c r="H11" s="285">
        <v>95.873381179290817</v>
      </c>
      <c r="I11" s="484">
        <v>138.33286929479007</v>
      </c>
      <c r="J11" s="285">
        <v>48.014427902930144</v>
      </c>
      <c r="K11" s="485">
        <f>Capex_by_Driver!BL27</f>
        <v>39.618734632716773</v>
      </c>
      <c r="L11" s="289">
        <f>Capex_by_Driver!BM27</f>
        <v>15.195661580537621</v>
      </c>
      <c r="M11" s="289">
        <f>Capex_by_Driver!BN27</f>
        <v>0</v>
      </c>
      <c r="N11" s="289">
        <f>Capex_by_Driver!BO27</f>
        <v>0</v>
      </c>
      <c r="O11" s="289">
        <f>Capex_by_Driver!BP27</f>
        <v>0</v>
      </c>
      <c r="P11" s="486">
        <f t="shared" si="0"/>
        <v>54.814396213254398</v>
      </c>
    </row>
    <row r="12" spans="2:16" x14ac:dyDescent="0.3">
      <c r="C12" s="32" t="s">
        <v>284</v>
      </c>
      <c r="D12" s="487">
        <v>34.871073104131561</v>
      </c>
      <c r="E12" s="483">
        <v>15.802741416305853</v>
      </c>
      <c r="F12" s="285">
        <v>42.829779603343653</v>
      </c>
      <c r="G12" s="484">
        <v>31.471100815171035</v>
      </c>
      <c r="H12" s="285">
        <v>48.849198346598072</v>
      </c>
      <c r="I12" s="484">
        <v>49.449052457324505</v>
      </c>
      <c r="J12" s="285">
        <v>20.102988436245845</v>
      </c>
      <c r="K12" s="485">
        <f>Capex_by_Driver!BL34</f>
        <v>38.300502219730852</v>
      </c>
      <c r="L12" s="289">
        <f>Capex_by_Driver!BM34</f>
        <v>29.954303105002271</v>
      </c>
      <c r="M12" s="289">
        <f>Capex_by_Driver!BN34</f>
        <v>38.167610311653085</v>
      </c>
      <c r="N12" s="289">
        <f>Capex_by_Driver!BO34</f>
        <v>30.175799950344306</v>
      </c>
      <c r="O12" s="289">
        <f>Capex_by_Driver!BP34</f>
        <v>28.849509632501292</v>
      </c>
      <c r="P12" s="486">
        <f t="shared" si="0"/>
        <v>165.44772521923178</v>
      </c>
    </row>
    <row r="13" spans="2:16" x14ac:dyDescent="0.3">
      <c r="C13" s="32" t="s">
        <v>738</v>
      </c>
      <c r="D13" s="487"/>
      <c r="E13" s="483">
        <v>0</v>
      </c>
      <c r="F13" s="285">
        <v>0</v>
      </c>
      <c r="G13" s="484">
        <v>0</v>
      </c>
      <c r="H13" s="285">
        <v>13.868386443597197</v>
      </c>
      <c r="I13" s="484">
        <v>14.36450480970144</v>
      </c>
      <c r="J13" s="285">
        <v>3.6422279982897927</v>
      </c>
      <c r="K13" s="485">
        <f>Capex_by_Driver!BL35</f>
        <v>9.8200646770492241</v>
      </c>
      <c r="L13" s="289">
        <f>Capex_by_Driver!BM35</f>
        <v>4.3610999589322805</v>
      </c>
      <c r="M13" s="289">
        <f>Capex_by_Driver!BN35</f>
        <v>0.71711853916956292</v>
      </c>
      <c r="N13" s="289">
        <f>Capex_by_Driver!BO35</f>
        <v>0</v>
      </c>
      <c r="O13" s="289">
        <f>Capex_by_Driver!BP35</f>
        <v>0.74288306782385605</v>
      </c>
      <c r="P13" s="486">
        <f t="shared" si="0"/>
        <v>15.641166242974924</v>
      </c>
    </row>
    <row r="14" spans="2:16" x14ac:dyDescent="0.3">
      <c r="C14" s="32" t="s">
        <v>741</v>
      </c>
      <c r="D14" s="487"/>
      <c r="E14" s="483">
        <v>0</v>
      </c>
      <c r="F14" s="285">
        <v>0</v>
      </c>
      <c r="G14" s="484">
        <v>0</v>
      </c>
      <c r="H14" s="285">
        <v>0</v>
      </c>
      <c r="I14" s="484">
        <v>0</v>
      </c>
      <c r="J14" s="285">
        <v>8.8807213571732131</v>
      </c>
      <c r="K14" s="485">
        <v>9.9245302603786207</v>
      </c>
      <c r="L14" s="289">
        <v>3.9814764121715838</v>
      </c>
      <c r="M14" s="289">
        <v>3.4675668110617077</v>
      </c>
      <c r="N14" s="289">
        <v>3.6184403065204842</v>
      </c>
      <c r="O14" s="289">
        <v>3.6437808753004588</v>
      </c>
      <c r="P14" s="486">
        <f t="shared" si="0"/>
        <v>24.635794665432854</v>
      </c>
    </row>
    <row r="15" spans="2:16" x14ac:dyDescent="0.3">
      <c r="C15" s="32" t="s">
        <v>453</v>
      </c>
      <c r="D15" s="487">
        <v>6.5579739014325185</v>
      </c>
      <c r="E15" s="483">
        <v>6.9591759887120457</v>
      </c>
      <c r="F15" s="285">
        <v>5.8500983837028775</v>
      </c>
      <c r="G15" s="484">
        <v>18.140076984437712</v>
      </c>
      <c r="H15" s="285">
        <v>7.2781096350025098</v>
      </c>
      <c r="I15" s="484">
        <v>7.3581061591215304</v>
      </c>
      <c r="J15" s="285">
        <v>4.0397582376865993</v>
      </c>
      <c r="K15" s="485">
        <f>Capex_by_Driver!BL36</f>
        <v>7.8286204846538512</v>
      </c>
      <c r="L15" s="289">
        <f>Capex_by_Driver!BM36</f>
        <v>6.4227461620332784</v>
      </c>
      <c r="M15" s="289">
        <f>Capex_by_Driver!BN36</f>
        <v>5.9255068426718829</v>
      </c>
      <c r="N15" s="289">
        <f>Capex_by_Driver!BO36</f>
        <v>9.1908208465937449</v>
      </c>
      <c r="O15" s="289">
        <f>Capex_by_Driver!BP36</f>
        <v>11.864474347439444</v>
      </c>
      <c r="P15" s="486">
        <f t="shared" si="0"/>
        <v>41.232168683392203</v>
      </c>
    </row>
    <row r="16" spans="2:16" x14ac:dyDescent="0.3">
      <c r="C16" s="32" t="s">
        <v>456</v>
      </c>
      <c r="D16" s="487">
        <v>0</v>
      </c>
      <c r="E16" s="483">
        <v>0</v>
      </c>
      <c r="F16" s="285">
        <v>0</v>
      </c>
      <c r="G16" s="484">
        <v>0</v>
      </c>
      <c r="H16" s="285">
        <v>0</v>
      </c>
      <c r="I16" s="484">
        <v>0</v>
      </c>
      <c r="J16" s="285">
        <v>0</v>
      </c>
      <c r="K16" s="485">
        <f>Capex_by_Driver!BL39</f>
        <v>1.277847130425207</v>
      </c>
      <c r="L16" s="289">
        <f>Capex_by_Driver!BM39</f>
        <v>1.2809344849754329</v>
      </c>
      <c r="M16" s="289">
        <f>Capex_by_Driver!BN39</f>
        <v>1.2842066451347689</v>
      </c>
      <c r="N16" s="289">
        <f>Capex_by_Driver!BO39</f>
        <v>1.2871119296042206</v>
      </c>
      <c r="O16" s="289">
        <f>Capex_by_Driver!BP39</f>
        <v>1.2898414413576575</v>
      </c>
      <c r="P16" s="486">
        <f t="shared" si="0"/>
        <v>6.4199416314972861</v>
      </c>
    </row>
    <row r="17" spans="3:17" x14ac:dyDescent="0.3">
      <c r="C17" s="33" t="s">
        <v>592</v>
      </c>
      <c r="D17" s="488">
        <v>0</v>
      </c>
      <c r="E17" s="489">
        <v>0</v>
      </c>
      <c r="F17" s="490">
        <v>0</v>
      </c>
      <c r="G17" s="491">
        <v>0</v>
      </c>
      <c r="H17" s="490">
        <v>32.880740921025627</v>
      </c>
      <c r="I17" s="491">
        <v>0.33805833626946652</v>
      </c>
      <c r="J17" s="490">
        <v>0.16101271048294152</v>
      </c>
      <c r="K17" s="492">
        <f>Capex_by_Driver!BL37</f>
        <v>1.3117796955947785</v>
      </c>
      <c r="L17" s="493">
        <f>Capex_by_Driver!BM37</f>
        <v>0</v>
      </c>
      <c r="M17" s="493">
        <f>Capex_by_Driver!BN37</f>
        <v>0</v>
      </c>
      <c r="N17" s="493">
        <f>Capex_by_Driver!BO37</f>
        <v>0</v>
      </c>
      <c r="O17" s="493">
        <f>Capex_by_Driver!BP37</f>
        <v>4.8675224240832415</v>
      </c>
      <c r="P17" s="494">
        <f t="shared" si="0"/>
        <v>6.1793021196780202</v>
      </c>
    </row>
    <row r="18" spans="3:17" ht="15" x14ac:dyDescent="0.3">
      <c r="C18" s="69" t="s">
        <v>703</v>
      </c>
      <c r="D18" s="495">
        <f t="shared" ref="D18:O18" si="1">SUM(D6:D17)</f>
        <v>390.81674128431678</v>
      </c>
      <c r="E18" s="496">
        <f t="shared" si="1"/>
        <v>334.90727295687475</v>
      </c>
      <c r="F18" s="497">
        <f t="shared" si="1"/>
        <v>380.30779616633635</v>
      </c>
      <c r="G18" s="495">
        <f t="shared" si="1"/>
        <v>436.44790225667737</v>
      </c>
      <c r="H18" s="497">
        <f t="shared" si="1"/>
        <v>475.81831442515767</v>
      </c>
      <c r="I18" s="495">
        <f t="shared" si="1"/>
        <v>480.09605841468715</v>
      </c>
      <c r="J18" s="495">
        <f t="shared" si="1"/>
        <v>221.60911181754798</v>
      </c>
      <c r="K18" s="496">
        <f t="shared" si="1"/>
        <v>384.59586644259474</v>
      </c>
      <c r="L18" s="497">
        <f t="shared" si="1"/>
        <v>366.64799474261878</v>
      </c>
      <c r="M18" s="497">
        <f t="shared" si="1"/>
        <v>364.8404742859434</v>
      </c>
      <c r="N18" s="497">
        <f t="shared" si="1"/>
        <v>350.82704175218345</v>
      </c>
      <c r="O18" s="497">
        <f t="shared" si="1"/>
        <v>353.28058251571531</v>
      </c>
      <c r="P18" s="498">
        <f>SUM(P6:P17)</f>
        <v>1820.1919597390556</v>
      </c>
      <c r="Q18" s="471" t="b">
        <f>P18=RFM_PTRM!T17</f>
        <v>1</v>
      </c>
    </row>
    <row r="19" spans="3:17" x14ac:dyDescent="0.3">
      <c r="C19" s="32" t="s">
        <v>133</v>
      </c>
      <c r="D19" s="252"/>
      <c r="E19" s="469">
        <v>0</v>
      </c>
      <c r="F19" s="278">
        <v>0</v>
      </c>
      <c r="G19" s="470">
        <v>0</v>
      </c>
      <c r="H19" s="278">
        <v>0</v>
      </c>
      <c r="I19" s="470">
        <v>0</v>
      </c>
      <c r="J19" s="278">
        <v>0</v>
      </c>
      <c r="K19" s="277">
        <f>K18-Capex_by_Driver!BL51</f>
        <v>0</v>
      </c>
      <c r="L19" s="472">
        <f>L18-Capex_by_Driver!BM51</f>
        <v>0</v>
      </c>
      <c r="M19" s="472">
        <f>M18-Capex_by_Driver!BN51</f>
        <v>0</v>
      </c>
      <c r="N19" s="472">
        <f>N18-Capex_by_Driver!BO51</f>
        <v>0</v>
      </c>
      <c r="O19" s="472">
        <f>O18-Capex_by_Driver!BP51</f>
        <v>0</v>
      </c>
      <c r="P19" s="473">
        <f>P18-Capex_by_Driver!BQ51</f>
        <v>0</v>
      </c>
    </row>
    <row r="20" spans="3:17" x14ac:dyDescent="0.3">
      <c r="C20" s="32" t="s">
        <v>719</v>
      </c>
      <c r="D20" s="484">
        <f>D34</f>
        <v>51.158591411816161</v>
      </c>
      <c r="E20" s="483">
        <f t="shared" ref="E20:O20" si="2">E34</f>
        <v>22.571443194298055</v>
      </c>
      <c r="F20" s="285">
        <f t="shared" si="2"/>
        <v>36.104027146097245</v>
      </c>
      <c r="G20" s="484">
        <f t="shared" si="2"/>
        <v>57.944956731822238</v>
      </c>
      <c r="H20" s="285">
        <f t="shared" si="2"/>
        <v>67.636703119476167</v>
      </c>
      <c r="I20" s="484">
        <f t="shared" si="2"/>
        <v>69.288325463039797</v>
      </c>
      <c r="J20" s="285">
        <f t="shared" si="2"/>
        <v>35.82783309916806</v>
      </c>
      <c r="K20" s="483">
        <f t="shared" si="2"/>
        <v>72.320594377096739</v>
      </c>
      <c r="L20" s="285">
        <f t="shared" si="2"/>
        <v>70.447447438603547</v>
      </c>
      <c r="M20" s="285">
        <f t="shared" si="2"/>
        <v>68.807592119885257</v>
      </c>
      <c r="N20" s="285">
        <f t="shared" si="2"/>
        <v>69.877527723339313</v>
      </c>
      <c r="O20" s="285">
        <f t="shared" si="2"/>
        <v>70.807211973137058</v>
      </c>
      <c r="P20" s="499">
        <f t="shared" si="0"/>
        <v>352.26037363206189</v>
      </c>
    </row>
    <row r="21" spans="3:17" x14ac:dyDescent="0.3">
      <c r="C21" s="32"/>
      <c r="D21" s="484"/>
      <c r="E21" s="483"/>
      <c r="F21" s="285"/>
      <c r="G21" s="484"/>
      <c r="H21" s="285"/>
      <c r="I21" s="484"/>
      <c r="J21" s="285"/>
      <c r="K21" s="483"/>
      <c r="L21" s="285"/>
      <c r="M21" s="285"/>
      <c r="N21" s="285"/>
      <c r="O21" s="285"/>
      <c r="P21" s="499"/>
    </row>
    <row r="22" spans="3:17" ht="15" x14ac:dyDescent="0.3">
      <c r="C22" s="8" t="s">
        <v>704</v>
      </c>
      <c r="D22" s="507">
        <f t="shared" ref="D22:O22" si="3">D18-D20</f>
        <v>339.65814987250064</v>
      </c>
      <c r="E22" s="508">
        <f t="shared" si="3"/>
        <v>312.33582976257668</v>
      </c>
      <c r="F22" s="509">
        <f t="shared" si="3"/>
        <v>344.20376902023912</v>
      </c>
      <c r="G22" s="507">
        <f t="shared" si="3"/>
        <v>378.50294552485514</v>
      </c>
      <c r="H22" s="509">
        <f t="shared" si="3"/>
        <v>408.18161130568149</v>
      </c>
      <c r="I22" s="507">
        <f t="shared" si="3"/>
        <v>410.80773295164738</v>
      </c>
      <c r="J22" s="509">
        <f t="shared" si="3"/>
        <v>185.78127871837992</v>
      </c>
      <c r="K22" s="508">
        <f t="shared" si="3"/>
        <v>312.27527206549803</v>
      </c>
      <c r="L22" s="509">
        <f t="shared" si="3"/>
        <v>296.20054730401523</v>
      </c>
      <c r="M22" s="509">
        <f t="shared" si="3"/>
        <v>296.03288216605813</v>
      </c>
      <c r="N22" s="509">
        <f t="shared" si="3"/>
        <v>280.94951402884413</v>
      </c>
      <c r="O22" s="509">
        <f t="shared" si="3"/>
        <v>282.47337054257827</v>
      </c>
      <c r="P22" s="510">
        <f>P18-P20</f>
        <v>1467.9315861069938</v>
      </c>
      <c r="Q22" s="471" t="b">
        <f>P22=RFM_PTRM!T41</f>
        <v>1</v>
      </c>
    </row>
    <row r="23" spans="3:17" x14ac:dyDescent="0.3">
      <c r="C23" s="2"/>
      <c r="D23" s="2"/>
      <c r="E23" s="263"/>
      <c r="F23" s="263"/>
      <c r="G23" s="263"/>
      <c r="H23" s="474" t="s">
        <v>720</v>
      </c>
      <c r="I23" s="263">
        <v>1854.0318885649999</v>
      </c>
      <c r="J23" s="263"/>
      <c r="K23" s="263"/>
      <c r="L23" s="263"/>
      <c r="M23" s="263"/>
      <c r="N23" s="263"/>
      <c r="O23" s="263"/>
      <c r="P23" s="263">
        <f>P22-I23</f>
        <v>-386.10030245800613</v>
      </c>
    </row>
    <row r="24" spans="3:17" x14ac:dyDescent="0.3">
      <c r="C24" s="475" t="s">
        <v>705</v>
      </c>
      <c r="D24" s="475"/>
      <c r="E24" s="263"/>
      <c r="F24" s="263"/>
      <c r="G24" s="263"/>
      <c r="H24" s="263"/>
      <c r="J24" s="263"/>
      <c r="K24" s="263"/>
      <c r="L24" s="263"/>
      <c r="M24" s="263"/>
      <c r="N24" s="263"/>
      <c r="O24" s="474" t="s">
        <v>721</v>
      </c>
      <c r="P24" s="476">
        <f>P23/I23</f>
        <v>-0.20824900846599972</v>
      </c>
    </row>
    <row r="25" spans="3:17" x14ac:dyDescent="0.3">
      <c r="C25" s="475" t="s">
        <v>706</v>
      </c>
      <c r="D25" s="477"/>
      <c r="E25" s="263"/>
      <c r="F25" s="263"/>
      <c r="G25" s="263"/>
      <c r="H25" s="263"/>
      <c r="I25" s="263"/>
    </row>
    <row r="26" spans="3:17" x14ac:dyDescent="0.3">
      <c r="C26" s="475" t="s">
        <v>707</v>
      </c>
      <c r="D26" s="475"/>
      <c r="E26" s="263"/>
      <c r="F26" s="263"/>
      <c r="G26" s="263"/>
      <c r="H26" s="263"/>
      <c r="I26" s="263"/>
      <c r="P26" s="478"/>
    </row>
    <row r="28" spans="3:17" x14ac:dyDescent="0.3">
      <c r="C28" s="2" t="s">
        <v>708</v>
      </c>
      <c r="D28" s="607" t="s">
        <v>700</v>
      </c>
      <c r="E28" s="608"/>
      <c r="F28" s="608"/>
      <c r="G28" s="609"/>
      <c r="H28" s="607" t="s">
        <v>286</v>
      </c>
      <c r="I28" s="608"/>
      <c r="J28" s="609"/>
      <c r="K28" s="607" t="s">
        <v>724</v>
      </c>
      <c r="L28" s="608"/>
      <c r="M28" s="608"/>
      <c r="N28" s="608"/>
      <c r="O28" s="609"/>
      <c r="P28" s="17" t="s">
        <v>146</v>
      </c>
    </row>
    <row r="29" spans="3:17" x14ac:dyDescent="0.3">
      <c r="C29" s="8" t="s">
        <v>709</v>
      </c>
      <c r="D29" s="466">
        <v>2015</v>
      </c>
      <c r="E29" s="464">
        <v>2016</v>
      </c>
      <c r="F29" s="465">
        <v>2017</v>
      </c>
      <c r="G29" s="466">
        <v>2018</v>
      </c>
      <c r="H29" s="465">
        <v>2019</v>
      </c>
      <c r="I29" s="466">
        <v>2020</v>
      </c>
      <c r="J29" s="465" t="s">
        <v>701</v>
      </c>
      <c r="K29" s="464" t="s">
        <v>621</v>
      </c>
      <c r="L29" s="465" t="s">
        <v>622</v>
      </c>
      <c r="M29" s="465" t="s">
        <v>623</v>
      </c>
      <c r="N29" s="465" t="s">
        <v>624</v>
      </c>
      <c r="O29" s="466" t="s">
        <v>625</v>
      </c>
      <c r="P29" s="17" t="s">
        <v>593</v>
      </c>
    </row>
    <row r="30" spans="3:17" x14ac:dyDescent="0.3">
      <c r="C30" s="32" t="s">
        <v>10</v>
      </c>
      <c r="D30" s="482">
        <v>6.5663275634968858</v>
      </c>
      <c r="E30" s="483">
        <v>7.2673837835720976</v>
      </c>
      <c r="F30" s="285">
        <v>8.2526177164176797</v>
      </c>
      <c r="G30" s="484">
        <v>6.4898941887111112</v>
      </c>
      <c r="H30" s="285">
        <v>0</v>
      </c>
      <c r="I30" s="484">
        <v>0</v>
      </c>
      <c r="J30" s="285"/>
      <c r="K30" s="483">
        <v>0</v>
      </c>
      <c r="L30" s="285">
        <v>0</v>
      </c>
      <c r="M30" s="285">
        <v>0</v>
      </c>
      <c r="N30" s="285">
        <v>0</v>
      </c>
      <c r="O30" s="484">
        <v>0</v>
      </c>
      <c r="P30" s="486">
        <f t="shared" ref="P30" si="4">SUM(K30:O30)</f>
        <v>0</v>
      </c>
    </row>
    <row r="31" spans="3:17" x14ac:dyDescent="0.3">
      <c r="C31" s="32" t="s">
        <v>26</v>
      </c>
      <c r="D31" s="487">
        <v>33.35270895361149</v>
      </c>
      <c r="E31" s="483">
        <v>15.304059410725957</v>
      </c>
      <c r="F31" s="285">
        <v>27.849090249593377</v>
      </c>
      <c r="G31" s="484">
        <v>51.386533833111123</v>
      </c>
      <c r="H31" s="285">
        <v>67.636703119476167</v>
      </c>
      <c r="I31" s="484">
        <v>69.288325463039797</v>
      </c>
      <c r="J31" s="285">
        <v>35.82783309916806</v>
      </c>
      <c r="K31" s="483">
        <f>RFM_PTRM!O29</f>
        <v>72.320594377096739</v>
      </c>
      <c r="L31" s="285">
        <f>RFM_PTRM!P29</f>
        <v>70.447447438603547</v>
      </c>
      <c r="M31" s="285">
        <f>RFM_PTRM!Q29</f>
        <v>68.807592119885257</v>
      </c>
      <c r="N31" s="285">
        <f>RFM_PTRM!R29</f>
        <v>69.877527723339313</v>
      </c>
      <c r="O31" s="484">
        <f>RFM_PTRM!S29</f>
        <v>70.807211973137058</v>
      </c>
      <c r="P31" s="486">
        <f>SUM(K31:O31)</f>
        <v>352.26037363206189</v>
      </c>
    </row>
    <row r="32" spans="3:17" x14ac:dyDescent="0.3">
      <c r="C32" s="32" t="s">
        <v>710</v>
      </c>
      <c r="D32" s="487">
        <v>11.239554894707787</v>
      </c>
      <c r="E32" s="483">
        <v>0</v>
      </c>
      <c r="F32" s="285">
        <v>0</v>
      </c>
      <c r="G32" s="484"/>
      <c r="H32" s="285"/>
      <c r="I32" s="484"/>
      <c r="J32" s="285"/>
      <c r="K32" s="483"/>
      <c r="L32" s="285"/>
      <c r="M32" s="285"/>
      <c r="N32" s="285"/>
      <c r="O32" s="484"/>
      <c r="P32" s="486">
        <f t="shared" ref="P32:P33" si="5">SUM(K32:O32)</f>
        <v>0</v>
      </c>
    </row>
    <row r="33" spans="3:17" x14ac:dyDescent="0.3">
      <c r="C33" s="33" t="s">
        <v>5</v>
      </c>
      <c r="D33" s="488"/>
      <c r="E33" s="489">
        <v>0</v>
      </c>
      <c r="F33" s="490">
        <v>2.3191800861894762E-3</v>
      </c>
      <c r="G33" s="491">
        <v>6.8528709999999993E-2</v>
      </c>
      <c r="H33" s="490">
        <v>0</v>
      </c>
      <c r="I33" s="491">
        <v>0</v>
      </c>
      <c r="J33" s="490"/>
      <c r="K33" s="489">
        <v>0</v>
      </c>
      <c r="L33" s="490">
        <v>0</v>
      </c>
      <c r="M33" s="490">
        <v>0</v>
      </c>
      <c r="N33" s="490">
        <v>0</v>
      </c>
      <c r="O33" s="491">
        <v>0</v>
      </c>
      <c r="P33" s="494">
        <f t="shared" si="5"/>
        <v>0</v>
      </c>
    </row>
    <row r="34" spans="3:17" x14ac:dyDescent="0.3">
      <c r="C34" s="8" t="s">
        <v>711</v>
      </c>
      <c r="D34" s="507">
        <f t="shared" ref="D34:O34" si="6">SUM(D30:D33)</f>
        <v>51.158591411816161</v>
      </c>
      <c r="E34" s="508">
        <f t="shared" si="6"/>
        <v>22.571443194298055</v>
      </c>
      <c r="F34" s="509">
        <f t="shared" si="6"/>
        <v>36.104027146097245</v>
      </c>
      <c r="G34" s="507">
        <f t="shared" si="6"/>
        <v>57.944956731822238</v>
      </c>
      <c r="H34" s="509">
        <f t="shared" si="6"/>
        <v>67.636703119476167</v>
      </c>
      <c r="I34" s="507">
        <f t="shared" si="6"/>
        <v>69.288325463039797</v>
      </c>
      <c r="J34" s="507">
        <f t="shared" si="6"/>
        <v>35.82783309916806</v>
      </c>
      <c r="K34" s="511">
        <f t="shared" si="6"/>
        <v>72.320594377096739</v>
      </c>
      <c r="L34" s="512">
        <f t="shared" si="6"/>
        <v>70.447447438603547</v>
      </c>
      <c r="M34" s="512">
        <f t="shared" si="6"/>
        <v>68.807592119885257</v>
      </c>
      <c r="N34" s="512">
        <f t="shared" si="6"/>
        <v>69.877527723339313</v>
      </c>
      <c r="O34" s="513">
        <f t="shared" si="6"/>
        <v>70.807211973137058</v>
      </c>
      <c r="P34" s="510">
        <f>SUM(P30:P33)</f>
        <v>352.26037363206189</v>
      </c>
      <c r="Q34" s="471" t="b">
        <f>P34=RFM_PTRM!T29</f>
        <v>1</v>
      </c>
    </row>
    <row r="35" spans="3:17" x14ac:dyDescent="0.3">
      <c r="C35" s="32"/>
      <c r="D35" s="252"/>
      <c r="E35" s="469"/>
      <c r="F35" s="278"/>
      <c r="G35" s="470"/>
      <c r="H35" s="278"/>
      <c r="I35" s="470"/>
      <c r="J35" s="278"/>
      <c r="K35" s="469"/>
      <c r="L35" s="278"/>
      <c r="M35" s="278"/>
      <c r="N35" s="278"/>
      <c r="O35" s="470"/>
      <c r="P35" s="32"/>
    </row>
    <row r="36" spans="3:17" x14ac:dyDescent="0.3">
      <c r="C36" s="70" t="s">
        <v>712</v>
      </c>
      <c r="D36" s="467">
        <v>2015</v>
      </c>
      <c r="E36" s="479">
        <v>2016</v>
      </c>
      <c r="F36" s="467">
        <v>2017</v>
      </c>
      <c r="G36" s="480">
        <v>2018</v>
      </c>
      <c r="H36" s="467">
        <v>2019</v>
      </c>
      <c r="I36" s="480">
        <v>2020</v>
      </c>
      <c r="J36" s="467" t="s">
        <v>701</v>
      </c>
      <c r="K36" s="479" t="s">
        <v>621</v>
      </c>
      <c r="L36" s="467" t="s">
        <v>622</v>
      </c>
      <c r="M36" s="467" t="s">
        <v>623</v>
      </c>
      <c r="N36" s="467" t="s">
        <v>624</v>
      </c>
      <c r="O36" s="480" t="s">
        <v>625</v>
      </c>
      <c r="P36" s="481" t="s">
        <v>713</v>
      </c>
    </row>
    <row r="37" spans="3:17" x14ac:dyDescent="0.3">
      <c r="C37" s="32" t="s">
        <v>714</v>
      </c>
      <c r="D37" s="487">
        <f>D6-D30</f>
        <v>13.947302998746304</v>
      </c>
      <c r="E37" s="485">
        <f t="shared" ref="E37:P37" si="7">E6-E30</f>
        <v>18.775719960147313</v>
      </c>
      <c r="F37" s="500">
        <f t="shared" si="7"/>
        <v>19.814708049691895</v>
      </c>
      <c r="G37" s="487">
        <f t="shared" si="7"/>
        <v>31.37570347790497</v>
      </c>
      <c r="H37" s="500">
        <f t="shared" si="7"/>
        <v>32.163039719733497</v>
      </c>
      <c r="I37" s="487">
        <f t="shared" si="7"/>
        <v>27.91148240452307</v>
      </c>
      <c r="J37" s="500">
        <f t="shared" si="7"/>
        <v>11.384188199013863</v>
      </c>
      <c r="K37" s="485">
        <f t="shared" si="7"/>
        <v>19.647827743005351</v>
      </c>
      <c r="L37" s="500">
        <f t="shared" si="7"/>
        <v>22.036150718333705</v>
      </c>
      <c r="M37" s="500">
        <f t="shared" si="7"/>
        <v>19.414176837253159</v>
      </c>
      <c r="N37" s="500">
        <f t="shared" si="7"/>
        <v>15.701651112798023</v>
      </c>
      <c r="O37" s="487">
        <f t="shared" si="7"/>
        <v>15.41892660080433</v>
      </c>
      <c r="P37" s="486">
        <f t="shared" si="7"/>
        <v>92.218733012194562</v>
      </c>
    </row>
    <row r="38" spans="3:17" x14ac:dyDescent="0.3">
      <c r="C38" s="32" t="s">
        <v>715</v>
      </c>
      <c r="D38" s="487">
        <f>D9-D32</f>
        <v>128.0952559348045</v>
      </c>
      <c r="E38" s="485">
        <f t="shared" ref="E38:P38" si="8">E9-E32</f>
        <v>114.72610233566239</v>
      </c>
      <c r="F38" s="500">
        <f t="shared" si="8"/>
        <v>84.796769154755182</v>
      </c>
      <c r="G38" s="487">
        <f t="shared" si="8"/>
        <v>56.593608173395118</v>
      </c>
      <c r="H38" s="500">
        <f t="shared" si="8"/>
        <v>47.171479897825627</v>
      </c>
      <c r="I38" s="487">
        <f t="shared" si="8"/>
        <v>40.082192387259852</v>
      </c>
      <c r="J38" s="500">
        <f t="shared" si="8"/>
        <v>16.676131571969442</v>
      </c>
      <c r="K38" s="485">
        <f t="shared" si="8"/>
        <v>10.132794501145019</v>
      </c>
      <c r="L38" s="500">
        <f t="shared" si="8"/>
        <v>12.487627883948182</v>
      </c>
      <c r="M38" s="500">
        <f t="shared" si="8"/>
        <v>16.034417454052196</v>
      </c>
      <c r="N38" s="500">
        <f t="shared" si="8"/>
        <v>22.817375451171024</v>
      </c>
      <c r="O38" s="487">
        <f t="shared" si="8"/>
        <v>35.870335471860969</v>
      </c>
      <c r="P38" s="486">
        <f t="shared" si="8"/>
        <v>97.342550762177382</v>
      </c>
    </row>
    <row r="39" spans="3:17" x14ac:dyDescent="0.3">
      <c r="C39" s="33" t="s">
        <v>716</v>
      </c>
      <c r="D39" s="488">
        <f>D7-D31</f>
        <v>55.307083553033756</v>
      </c>
      <c r="E39" s="492">
        <f t="shared" ref="E39:P39" si="9">E7-E31</f>
        <v>67.202348561300582</v>
      </c>
      <c r="F39" s="493">
        <f t="shared" si="9"/>
        <v>57.001294112537153</v>
      </c>
      <c r="G39" s="488">
        <f t="shared" si="9"/>
        <v>55.031232162946829</v>
      </c>
      <c r="H39" s="493">
        <f t="shared" si="9"/>
        <v>40.72230829863733</v>
      </c>
      <c r="I39" s="488">
        <f t="shared" si="9"/>
        <v>40.780175572754843</v>
      </c>
      <c r="J39" s="493">
        <f t="shared" si="9"/>
        <v>20.293222080017578</v>
      </c>
      <c r="K39" s="492">
        <f t="shared" si="9"/>
        <v>41.288548487929518</v>
      </c>
      <c r="L39" s="493">
        <f t="shared" si="9"/>
        <v>41.542592717009086</v>
      </c>
      <c r="M39" s="493">
        <f t="shared" si="9"/>
        <v>41.882735559196462</v>
      </c>
      <c r="N39" s="493">
        <f t="shared" si="9"/>
        <v>42.44608011701807</v>
      </c>
      <c r="O39" s="488">
        <f t="shared" si="9"/>
        <v>43.015503714790313</v>
      </c>
      <c r="P39" s="494">
        <f t="shared" si="9"/>
        <v>210.17546059594355</v>
      </c>
    </row>
  </sheetData>
  <dataConsolidate/>
  <mergeCells count="7">
    <mergeCell ref="D3:O3"/>
    <mergeCell ref="H4:J4"/>
    <mergeCell ref="K4:O4"/>
    <mergeCell ref="D4:G4"/>
    <mergeCell ref="H28:J28"/>
    <mergeCell ref="K28:O28"/>
    <mergeCell ref="D28:G28"/>
  </mergeCells>
  <hyperlinks>
    <hyperlink ref="B2" location="Contents!A1" display="Table of Contents" xr:uid="{2D701D26-DCE7-44AE-B976-4A8D1F589859}"/>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C1:K18"/>
  <sheetViews>
    <sheetView zoomScale="85" zoomScaleNormal="85" workbookViewId="0">
      <selection activeCell="E9" sqref="E9"/>
    </sheetView>
  </sheetViews>
  <sheetFormatPr defaultColWidth="8.88671875" defaultRowHeight="14.4" x14ac:dyDescent="0.3"/>
  <cols>
    <col min="1" max="2" width="3.44140625" style="1" customWidth="1"/>
    <col min="3" max="3" width="8.88671875" style="1"/>
    <col min="4" max="4" width="46.109375" style="1" customWidth="1"/>
    <col min="5" max="5" width="9.109375" style="1" bestFit="1" customWidth="1"/>
    <col min="6" max="6" width="9.6640625" style="1" bestFit="1" customWidth="1"/>
    <col min="7" max="8" width="10.5546875" style="1" bestFit="1" customWidth="1"/>
    <col min="9" max="10" width="10.6640625" style="1" bestFit="1" customWidth="1"/>
    <col min="11" max="11" width="10" style="1" customWidth="1"/>
    <col min="12" max="16384" width="8.88671875" style="1"/>
  </cols>
  <sheetData>
    <row r="1" spans="3:11" ht="18" x14ac:dyDescent="0.35">
      <c r="C1" s="10" t="s">
        <v>654</v>
      </c>
    </row>
    <row r="2" spans="3:11" x14ac:dyDescent="0.3">
      <c r="C2" s="25" t="s">
        <v>6</v>
      </c>
      <c r="F2" s="101">
        <f>Escalators!$Q$14</f>
        <v>1.0577777777777779</v>
      </c>
      <c r="G2" s="1" t="s">
        <v>585</v>
      </c>
    </row>
    <row r="3" spans="3:11" x14ac:dyDescent="0.3">
      <c r="C3" s="25"/>
    </row>
    <row r="4" spans="3:11" x14ac:dyDescent="0.3">
      <c r="C4" s="2" t="s">
        <v>698</v>
      </c>
      <c r="E4" s="413" t="s">
        <v>609</v>
      </c>
      <c r="K4" s="17" t="s">
        <v>146</v>
      </c>
    </row>
    <row r="5" spans="3:11" x14ac:dyDescent="0.3">
      <c r="E5" s="362">
        <f>Stub</f>
        <v>44377</v>
      </c>
      <c r="F5" s="362">
        <f>Yr_1</f>
        <v>44742</v>
      </c>
      <c r="G5" s="362">
        <f>Yr_2</f>
        <v>45107</v>
      </c>
      <c r="H5" s="362">
        <f>Yr_3</f>
        <v>45473</v>
      </c>
      <c r="I5" s="362">
        <f>Yr_4</f>
        <v>45838</v>
      </c>
      <c r="J5" s="362">
        <f>Yr_5</f>
        <v>46203</v>
      </c>
      <c r="K5" s="17" t="str">
        <f>NReg_Period</f>
        <v>2022-26</v>
      </c>
    </row>
    <row r="6" spans="3:11" x14ac:dyDescent="0.3">
      <c r="C6" s="6" t="s">
        <v>283</v>
      </c>
      <c r="D6" s="6" t="s">
        <v>419</v>
      </c>
      <c r="E6" s="375">
        <f>Augmentation!CS13</f>
        <v>0</v>
      </c>
      <c r="F6" s="375">
        <f>Augmentation!CT13</f>
        <v>3912.9736566463343</v>
      </c>
      <c r="G6" s="375">
        <f>Augmentation!CU13</f>
        <v>3936.4003811187522</v>
      </c>
      <c r="H6" s="375">
        <f>Augmentation!CV13</f>
        <v>3961.2294032590112</v>
      </c>
      <c r="I6" s="375">
        <f>Augmentation!CW13</f>
        <v>3983.2745871446327</v>
      </c>
      <c r="J6" s="375">
        <f>Augmentation!CX13</f>
        <v>4003.9860145987027</v>
      </c>
      <c r="K6" s="375">
        <f t="shared" ref="K6:K9" si="0">SUM(F6:J6)</f>
        <v>19797.864042767433</v>
      </c>
    </row>
    <row r="7" spans="3:11" x14ac:dyDescent="0.3">
      <c r="C7" s="6" t="s">
        <v>283</v>
      </c>
      <c r="D7" s="6" t="s">
        <v>581</v>
      </c>
      <c r="E7" s="375">
        <f>Augmentation!CS14</f>
        <v>0</v>
      </c>
      <c r="F7" s="375">
        <f>Augmentation!CT14</f>
        <v>3851.8334432612351</v>
      </c>
      <c r="G7" s="375">
        <f>Augmentation!CU14</f>
        <v>3874.8941251637712</v>
      </c>
      <c r="H7" s="375">
        <f>Augmentation!CV14</f>
        <v>3899.3351938330889</v>
      </c>
      <c r="I7" s="375">
        <f>Augmentation!CW14</f>
        <v>3921.0359217204978</v>
      </c>
      <c r="J7" s="375">
        <f>Augmentation!CX14</f>
        <v>3941.4237331205973</v>
      </c>
      <c r="K7" s="375">
        <f t="shared" si="0"/>
        <v>19488.52241709919</v>
      </c>
    </row>
    <row r="8" spans="3:11" x14ac:dyDescent="0.3">
      <c r="C8" s="6" t="s">
        <v>283</v>
      </c>
      <c r="D8" s="6" t="s">
        <v>567</v>
      </c>
      <c r="E8" s="375">
        <f>Augmentation!CS15</f>
        <v>0</v>
      </c>
      <c r="F8" s="375">
        <f>Augmentation!CT15</f>
        <v>0</v>
      </c>
      <c r="G8" s="375">
        <f>Augmentation!CU15</f>
        <v>0</v>
      </c>
      <c r="H8" s="375">
        <f>Augmentation!CV15</f>
        <v>0</v>
      </c>
      <c r="I8" s="375">
        <f>Augmentation!CW15</f>
        <v>0</v>
      </c>
      <c r="J8" s="375">
        <f>Augmentation!CX15</f>
        <v>0</v>
      </c>
      <c r="K8" s="375">
        <f t="shared" si="0"/>
        <v>0</v>
      </c>
    </row>
    <row r="9" spans="3:11" x14ac:dyDescent="0.3">
      <c r="C9" s="6" t="s">
        <v>607</v>
      </c>
      <c r="D9" s="6" t="s">
        <v>606</v>
      </c>
      <c r="E9" s="375">
        <f>ICT!BE9</f>
        <v>0</v>
      </c>
      <c r="F9" s="375">
        <f>ICT!BF9</f>
        <v>1276.0792388117875</v>
      </c>
      <c r="G9" s="375">
        <f>ICT!BG9</f>
        <v>1650.6700177843577</v>
      </c>
      <c r="H9" s="375">
        <f>ICT!BH9</f>
        <v>1962.9831349261849</v>
      </c>
      <c r="I9" s="375">
        <f>ICT!BI9</f>
        <v>2353.8378152085588</v>
      </c>
      <c r="J9" s="375">
        <f>ICT!BJ9</f>
        <v>2748.4031480628173</v>
      </c>
      <c r="K9" s="375">
        <f t="shared" si="0"/>
        <v>9991.9733547937067</v>
      </c>
    </row>
    <row r="10" spans="3:11" x14ac:dyDescent="0.3">
      <c r="C10" s="424" t="s">
        <v>146</v>
      </c>
      <c r="D10" s="306"/>
      <c r="E10" s="376">
        <f>SUM(E6:E9)</f>
        <v>0</v>
      </c>
      <c r="F10" s="376">
        <f t="shared" ref="F10:K10" si="1">SUM(F6:F9)</f>
        <v>9040.8863387193578</v>
      </c>
      <c r="G10" s="376">
        <f t="shared" si="1"/>
        <v>9461.9645240668815</v>
      </c>
      <c r="H10" s="376">
        <f t="shared" si="1"/>
        <v>9823.5477320182836</v>
      </c>
      <c r="I10" s="376">
        <f t="shared" si="1"/>
        <v>10258.148324073689</v>
      </c>
      <c r="J10" s="376">
        <f t="shared" si="1"/>
        <v>10693.812895782117</v>
      </c>
      <c r="K10" s="376">
        <f t="shared" si="1"/>
        <v>49278.359814660333</v>
      </c>
    </row>
    <row r="12" spans="3:11" x14ac:dyDescent="0.3">
      <c r="C12" s="2" t="s">
        <v>699</v>
      </c>
      <c r="E12" s="413" t="s">
        <v>609</v>
      </c>
      <c r="K12" s="17" t="s">
        <v>146</v>
      </c>
    </row>
    <row r="13" spans="3:11" x14ac:dyDescent="0.3">
      <c r="E13" s="362">
        <v>44377</v>
      </c>
      <c r="F13" s="362">
        <v>44742</v>
      </c>
      <c r="G13" s="362">
        <v>45107</v>
      </c>
      <c r="H13" s="362">
        <v>45473</v>
      </c>
      <c r="I13" s="362">
        <v>45838</v>
      </c>
      <c r="J13" s="362">
        <v>46203</v>
      </c>
      <c r="K13" s="17" t="str">
        <f>NReg_Period</f>
        <v>2022-26</v>
      </c>
    </row>
    <row r="14" spans="3:11" x14ac:dyDescent="0.3">
      <c r="C14" s="6" t="s">
        <v>283</v>
      </c>
      <c r="D14" s="6" t="s">
        <v>419</v>
      </c>
      <c r="E14" s="375">
        <f>E6*$F$2</f>
        <v>0</v>
      </c>
      <c r="F14" s="375">
        <f t="shared" ref="F14:J14" si="2">F6*$F$2</f>
        <v>4139.0565790303453</v>
      </c>
      <c r="G14" s="375">
        <f t="shared" si="2"/>
        <v>4163.8368475833922</v>
      </c>
      <c r="H14" s="375">
        <f t="shared" si="2"/>
        <v>4190.1004354473098</v>
      </c>
      <c r="I14" s="375">
        <f t="shared" si="2"/>
        <v>4213.4193410685457</v>
      </c>
      <c r="J14" s="375">
        <f t="shared" si="2"/>
        <v>4235.3274287755175</v>
      </c>
      <c r="K14" s="375">
        <f>SUM(F14:J14)</f>
        <v>20941.740631905108</v>
      </c>
    </row>
    <row r="15" spans="3:11" x14ac:dyDescent="0.3">
      <c r="C15" s="6" t="s">
        <v>283</v>
      </c>
      <c r="D15" s="6" t="s">
        <v>581</v>
      </c>
      <c r="E15" s="375">
        <f t="shared" ref="E15:J15" si="3">E7*$F$2</f>
        <v>0</v>
      </c>
      <c r="F15" s="375">
        <f t="shared" si="3"/>
        <v>4074.3838199829961</v>
      </c>
      <c r="G15" s="375">
        <f t="shared" si="3"/>
        <v>4098.7768968399005</v>
      </c>
      <c r="H15" s="375">
        <f t="shared" si="3"/>
        <v>4124.6301161434458</v>
      </c>
      <c r="I15" s="375">
        <f t="shared" si="3"/>
        <v>4147.5846638643497</v>
      </c>
      <c r="J15" s="375">
        <f t="shared" si="3"/>
        <v>4169.1504377008987</v>
      </c>
      <c r="K15" s="375">
        <f t="shared" ref="K15:K17" si="4">SUM(F15:J15)</f>
        <v>20614.525934531594</v>
      </c>
    </row>
    <row r="16" spans="3:11" x14ac:dyDescent="0.3">
      <c r="C16" s="6" t="s">
        <v>283</v>
      </c>
      <c r="D16" s="6" t="s">
        <v>567</v>
      </c>
      <c r="E16" s="375">
        <f t="shared" ref="E16:J16" si="5">E8*$F$2</f>
        <v>0</v>
      </c>
      <c r="F16" s="375">
        <f t="shared" si="5"/>
        <v>0</v>
      </c>
      <c r="G16" s="375">
        <f t="shared" si="5"/>
        <v>0</v>
      </c>
      <c r="H16" s="375">
        <f t="shared" si="5"/>
        <v>0</v>
      </c>
      <c r="I16" s="375">
        <f t="shared" si="5"/>
        <v>0</v>
      </c>
      <c r="J16" s="375">
        <f t="shared" si="5"/>
        <v>0</v>
      </c>
      <c r="K16" s="375">
        <f t="shared" si="4"/>
        <v>0</v>
      </c>
    </row>
    <row r="17" spans="3:11" x14ac:dyDescent="0.3">
      <c r="C17" s="6" t="s">
        <v>607</v>
      </c>
      <c r="D17" s="6" t="s">
        <v>606</v>
      </c>
      <c r="E17" s="375">
        <f t="shared" ref="E17:J17" si="6">E9*$F$2</f>
        <v>0</v>
      </c>
      <c r="F17" s="375">
        <f t="shared" si="6"/>
        <v>1349.8082614986909</v>
      </c>
      <c r="G17" s="375">
        <f t="shared" si="6"/>
        <v>1746.042063256343</v>
      </c>
      <c r="H17" s="375">
        <f t="shared" si="6"/>
        <v>2076.3999382774759</v>
      </c>
      <c r="I17" s="375">
        <f t="shared" si="6"/>
        <v>2489.8373334206094</v>
      </c>
      <c r="J17" s="375">
        <f t="shared" si="6"/>
        <v>2907.1997743953361</v>
      </c>
      <c r="K17" s="375">
        <f t="shared" si="4"/>
        <v>10569.287370848455</v>
      </c>
    </row>
    <row r="18" spans="3:11" x14ac:dyDescent="0.3">
      <c r="C18" s="424" t="s">
        <v>146</v>
      </c>
      <c r="D18" s="306"/>
      <c r="E18" s="376">
        <f>SUM(E14:E17)</f>
        <v>0</v>
      </c>
      <c r="F18" s="376">
        <f t="shared" ref="F18" si="7">SUM(F14:F17)</f>
        <v>9563.2486605120321</v>
      </c>
      <c r="G18" s="376">
        <f t="shared" ref="G18" si="8">SUM(G14:G17)</f>
        <v>10008.655807679635</v>
      </c>
      <c r="H18" s="376">
        <f t="shared" ref="H18" si="9">SUM(H14:H17)</f>
        <v>10391.130489868232</v>
      </c>
      <c r="I18" s="376">
        <f t="shared" ref="I18" si="10">SUM(I14:I17)</f>
        <v>10850.841338353506</v>
      </c>
      <c r="J18" s="376">
        <f t="shared" ref="J18:K18" si="11">SUM(J14:J17)</f>
        <v>11311.677640871752</v>
      </c>
      <c r="K18" s="376">
        <f t="shared" si="11"/>
        <v>52125.553937285156</v>
      </c>
    </row>
  </sheetData>
  <hyperlinks>
    <hyperlink ref="C2" location="Contents!A1" display="Table of Contents" xr:uid="{D0EB6845-DBBE-4E77-8905-3D17D75F4CDA}"/>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C1:K52"/>
  <sheetViews>
    <sheetView zoomScale="85" zoomScaleNormal="85" workbookViewId="0">
      <selection activeCell="O27" sqref="O27"/>
    </sheetView>
  </sheetViews>
  <sheetFormatPr defaultColWidth="8.88671875" defaultRowHeight="14.4" x14ac:dyDescent="0.3"/>
  <cols>
    <col min="1" max="1" width="4.33203125" style="1" customWidth="1"/>
    <col min="2" max="2" width="3.88671875" style="1" customWidth="1"/>
    <col min="3" max="3" width="23.88671875" style="1" customWidth="1"/>
    <col min="4" max="4" width="11" style="1" customWidth="1"/>
    <col min="5" max="5" width="10.77734375" style="1" customWidth="1"/>
    <col min="6" max="6" width="10.6640625" style="1" bestFit="1" customWidth="1"/>
    <col min="7" max="10" width="10.5546875" style="1" bestFit="1" customWidth="1"/>
    <col min="11" max="11" width="11.109375" style="1" customWidth="1"/>
    <col min="12" max="12" width="2" style="1" customWidth="1"/>
    <col min="13" max="16384" width="8.88671875" style="1"/>
  </cols>
  <sheetData>
    <row r="1" spans="3:11" ht="18" x14ac:dyDescent="0.35">
      <c r="C1" s="10" t="s">
        <v>652</v>
      </c>
    </row>
    <row r="2" spans="3:11" x14ac:dyDescent="0.3">
      <c r="C2" s="25" t="s">
        <v>6</v>
      </c>
      <c r="G2" s="101">
        <f>Escalators!$Q$14</f>
        <v>1.0577777777777779</v>
      </c>
      <c r="H2" s="1" t="s">
        <v>585</v>
      </c>
    </row>
    <row r="4" spans="3:11" x14ac:dyDescent="0.3">
      <c r="C4" s="2" t="s">
        <v>729</v>
      </c>
      <c r="G4" s="130"/>
    </row>
    <row r="5" spans="3:11" x14ac:dyDescent="0.3">
      <c r="C5" s="1" t="s">
        <v>731</v>
      </c>
    </row>
    <row r="6" spans="3:11" x14ac:dyDescent="0.3">
      <c r="C6" s="6" t="s">
        <v>296</v>
      </c>
      <c r="D6" s="17">
        <v>2019</v>
      </c>
      <c r="E6" s="17">
        <v>2020</v>
      </c>
      <c r="F6" s="17" t="s">
        <v>701</v>
      </c>
      <c r="G6" s="17" t="s">
        <v>621</v>
      </c>
      <c r="H6" s="17" t="s">
        <v>622</v>
      </c>
      <c r="I6" s="17" t="s">
        <v>623</v>
      </c>
      <c r="J6" s="17" t="s">
        <v>624</v>
      </c>
      <c r="K6" s="17" t="s">
        <v>625</v>
      </c>
    </row>
    <row r="7" spans="3:11" x14ac:dyDescent="0.3">
      <c r="C7" s="6" t="s">
        <v>692</v>
      </c>
      <c r="D7" s="463">
        <v>21491.998789212746</v>
      </c>
      <c r="E7" s="463">
        <v>16781.821857567571</v>
      </c>
      <c r="F7" s="463">
        <v>4848.7605067567565</v>
      </c>
      <c r="G7" s="375">
        <f>SUMIFS(REFCL!CT$6:CT$36,REFCL!$D$6:$D$36,$C7)*$G$2</f>
        <v>0</v>
      </c>
      <c r="H7" s="375">
        <f>SUMIFS(REFCL!CU$6:CU$36,REFCL!$D$6:$D$36,$C7)*$G$2</f>
        <v>0</v>
      </c>
      <c r="I7" s="375">
        <f>SUMIFS(REFCL!CV$6:CV$36,REFCL!$D$6:$D$36,$C7)*$G$2</f>
        <v>0</v>
      </c>
      <c r="J7" s="375">
        <f>SUMIFS(REFCL!CW$6:CW$36,REFCL!$D$6:$D$36,$C7)*$G$2</f>
        <v>0</v>
      </c>
      <c r="K7" s="375">
        <f>SUMIFS(REFCL!CX$6:CX$36,REFCL!$D$6:$D$36,$C7)*$G$2</f>
        <v>0</v>
      </c>
    </row>
    <row r="8" spans="3:11" x14ac:dyDescent="0.3">
      <c r="C8" s="6" t="s">
        <v>693</v>
      </c>
      <c r="D8" s="463">
        <v>59570.885570795275</v>
      </c>
      <c r="E8" s="463">
        <v>88033.459266891878</v>
      </c>
      <c r="F8" s="463">
        <v>18098.806083333333</v>
      </c>
      <c r="G8" s="375">
        <f>SUMIFS(REFCL!CT$6:CT$36,REFCL!$D$6:$D$36,$C8)*$G$2</f>
        <v>8397.1855926456537</v>
      </c>
      <c r="H8" s="375">
        <f>SUMIFS(REFCL!CU$6:CU$36,REFCL!$D$6:$D$36,$C8)*$G$2</f>
        <v>3609.3981057948758</v>
      </c>
      <c r="I8" s="375">
        <f>SUMIFS(REFCL!CV$6:CV$36,REFCL!$D$6:$D$36,$C8)*$G$2</f>
        <v>0</v>
      </c>
      <c r="J8" s="375">
        <f>SUMIFS(REFCL!CW$6:CW$36,REFCL!$D$6:$D$36,$C8)*$G$2</f>
        <v>0</v>
      </c>
      <c r="K8" s="375">
        <f>SUMIFS(REFCL!CX$6:CX$36,REFCL!$D$6:$D$36,$C8)*$G$2</f>
        <v>0</v>
      </c>
    </row>
    <row r="9" spans="3:11" x14ac:dyDescent="0.3">
      <c r="C9" s="6" t="s">
        <v>408</v>
      </c>
      <c r="D9" s="463">
        <v>6906.8838619479529</v>
      </c>
      <c r="E9" s="463">
        <v>25388.233964771869</v>
      </c>
      <c r="F9" s="463">
        <v>21263.216041109255</v>
      </c>
      <c r="G9" s="375">
        <f>SUMIFS(REFCL!CT$6:CT$36,REFCL!$D$6:$D$36,$C9)*$G$2</f>
        <v>27399.588893316166</v>
      </c>
      <c r="H9" s="375">
        <f>SUMIFS(REFCL!CU$6:CU$36,REFCL!$D$6:$D$36,$C9)*$G$2</f>
        <v>10135.210374957032</v>
      </c>
      <c r="I9" s="375">
        <f>SUMIFS(REFCL!CV$6:CV$36,REFCL!$D$6:$D$36,$C9)*$G$2</f>
        <v>0</v>
      </c>
      <c r="J9" s="375">
        <f>SUMIFS(REFCL!CW$6:CW$36,REFCL!$D$6:$D$36,$C9)*$G$2</f>
        <v>0</v>
      </c>
      <c r="K9" s="375">
        <f>SUMIFS(REFCL!CX$6:CX$36,REFCL!$D$6:$D$36,$C9)*$G$2</f>
        <v>0</v>
      </c>
    </row>
    <row r="10" spans="3:11" x14ac:dyDescent="0.3">
      <c r="C10" s="8" t="s">
        <v>736</v>
      </c>
      <c r="D10" s="502">
        <f>SUM(D7:D9)</f>
        <v>87969.768221955979</v>
      </c>
      <c r="E10" s="502">
        <f t="shared" ref="E10:K10" si="0">SUM(E7:E9)</f>
        <v>130203.51508923131</v>
      </c>
      <c r="F10" s="502">
        <f t="shared" si="0"/>
        <v>44210.782631199341</v>
      </c>
      <c r="G10" s="502">
        <f t="shared" si="0"/>
        <v>35796.774485961818</v>
      </c>
      <c r="H10" s="502">
        <f t="shared" si="0"/>
        <v>13744.608480751907</v>
      </c>
      <c r="I10" s="502">
        <f t="shared" si="0"/>
        <v>0</v>
      </c>
      <c r="J10" s="502">
        <f t="shared" si="0"/>
        <v>0</v>
      </c>
      <c r="K10" s="502">
        <f t="shared" si="0"/>
        <v>0</v>
      </c>
    </row>
    <row r="11" spans="3:11" x14ac:dyDescent="0.3">
      <c r="C11" s="6" t="s">
        <v>651</v>
      </c>
      <c r="D11" s="375">
        <f>SUMIFS(Augmentation!CQ$6:CQ$36,Augmentation!$B$6:$B$36,$C11)*$G$2</f>
        <v>0</v>
      </c>
      <c r="E11" s="375">
        <f>SUMIFS(Augmentation!CR$6:CR$36,Augmentation!$B$6:$B$36,$C11)*$G$2</f>
        <v>0</v>
      </c>
      <c r="F11" s="375">
        <f>SUMIFS(Augmentation!CS$6:CS$36,Augmentation!$B$6:$B$36,$C11)*$G$2</f>
        <v>0</v>
      </c>
      <c r="G11" s="375">
        <f>SUMIFS(Augmentation!CT$6:CT$36,Augmentation!$B$6:$B$36,$C11)*$G$2</f>
        <v>0</v>
      </c>
      <c r="H11" s="375">
        <f>SUMIFS(Augmentation!CU$6:CU$36,Augmentation!$B$6:$B$36,$C11)*$G$2</f>
        <v>12005.835724716793</v>
      </c>
      <c r="I11" s="375">
        <f>SUMIFS(Augmentation!CV$6:CV$36,Augmentation!$B$6:$B$36,$C11)*$G$2</f>
        <v>21343.613480876436</v>
      </c>
      <c r="J11" s="375">
        <f>SUMIFS(Augmentation!CW$6:CW$36,Augmentation!$B$6:$B$36,$C11)*$G$2</f>
        <v>30775.991688868446</v>
      </c>
      <c r="K11" s="375">
        <f>SUMIFS(Augmentation!CX$6:CX$36,Augmentation!$B$6:$B$36,$C11)*$G$2</f>
        <v>33637.208861343752</v>
      </c>
    </row>
    <row r="12" spans="3:11" x14ac:dyDescent="0.3">
      <c r="C12" s="8" t="s">
        <v>653</v>
      </c>
      <c r="D12" s="421">
        <f>SUM(D10:D11)</f>
        <v>87969.768221955979</v>
      </c>
      <c r="E12" s="421">
        <f t="shared" ref="E12:K12" si="1">SUM(E10:E11)</f>
        <v>130203.51508923131</v>
      </c>
      <c r="F12" s="421">
        <f t="shared" si="1"/>
        <v>44210.782631199341</v>
      </c>
      <c r="G12" s="421">
        <f t="shared" si="1"/>
        <v>35796.774485961818</v>
      </c>
      <c r="H12" s="421">
        <f t="shared" si="1"/>
        <v>25750.444205468702</v>
      </c>
      <c r="I12" s="421">
        <f t="shared" si="1"/>
        <v>21343.613480876436</v>
      </c>
      <c r="J12" s="421">
        <f t="shared" si="1"/>
        <v>30775.991688868446</v>
      </c>
      <c r="K12" s="421">
        <f t="shared" si="1"/>
        <v>33637.208861343752</v>
      </c>
    </row>
    <row r="14" spans="3:11" x14ac:dyDescent="0.3">
      <c r="C14" s="2" t="s">
        <v>730</v>
      </c>
      <c r="H14" s="159"/>
      <c r="I14" s="159"/>
      <c r="J14" s="159"/>
      <c r="K14" s="159"/>
    </row>
    <row r="15" spans="3:11" x14ac:dyDescent="0.3">
      <c r="C15" s="1" t="s">
        <v>731</v>
      </c>
      <c r="K15" s="17" t="s">
        <v>146</v>
      </c>
    </row>
    <row r="16" spans="3:11" x14ac:dyDescent="0.3">
      <c r="C16" s="6" t="s">
        <v>296</v>
      </c>
      <c r="D16" s="17" t="s">
        <v>626</v>
      </c>
      <c r="E16" s="17" t="s">
        <v>620</v>
      </c>
      <c r="F16" s="17" t="s">
        <v>621</v>
      </c>
      <c r="G16" s="17" t="s">
        <v>622</v>
      </c>
      <c r="H16" s="17" t="s">
        <v>623</v>
      </c>
      <c r="I16" s="17" t="s">
        <v>624</v>
      </c>
      <c r="J16" s="17" t="s">
        <v>625</v>
      </c>
      <c r="K16" s="17" t="str">
        <f>NReg_Period</f>
        <v>2022-26</v>
      </c>
    </row>
    <row r="17" spans="3:11" x14ac:dyDescent="0.3">
      <c r="C17" s="6" t="s">
        <v>692</v>
      </c>
      <c r="D17" s="454">
        <f>0.5*E7+0.5*D7</f>
        <v>19136.910323390159</v>
      </c>
      <c r="E17" s="454">
        <f>F7+0.5*E7</f>
        <v>13239.671435540542</v>
      </c>
      <c r="F17" s="454">
        <f>G7</f>
        <v>0</v>
      </c>
      <c r="G17" s="454">
        <f t="shared" ref="G17:J17" si="2">H7</f>
        <v>0</v>
      </c>
      <c r="H17" s="454">
        <f t="shared" si="2"/>
        <v>0</v>
      </c>
      <c r="I17" s="454">
        <f t="shared" si="2"/>
        <v>0</v>
      </c>
      <c r="J17" s="454">
        <f t="shared" si="2"/>
        <v>0</v>
      </c>
      <c r="K17" s="420">
        <f>SUM(F17:J17)</f>
        <v>0</v>
      </c>
    </row>
    <row r="18" spans="3:11" x14ac:dyDescent="0.3">
      <c r="C18" s="6" t="s">
        <v>693</v>
      </c>
      <c r="D18" s="454">
        <f>0.5*E8+0.5*D8</f>
        <v>73802.172418843576</v>
      </c>
      <c r="E18" s="454">
        <f>F8+0.5*E8</f>
        <v>62115.535716779268</v>
      </c>
      <c r="F18" s="454">
        <f t="shared" ref="F18:J18" si="3">G8</f>
        <v>8397.1855926456537</v>
      </c>
      <c r="G18" s="454">
        <f t="shared" si="3"/>
        <v>3609.3981057948758</v>
      </c>
      <c r="H18" s="454">
        <f t="shared" si="3"/>
        <v>0</v>
      </c>
      <c r="I18" s="454">
        <f t="shared" si="3"/>
        <v>0</v>
      </c>
      <c r="J18" s="454">
        <f t="shared" si="3"/>
        <v>0</v>
      </c>
      <c r="K18" s="420">
        <f t="shared" ref="K18:K21" si="4">SUM(F18:J18)</f>
        <v>12006.583698440529</v>
      </c>
    </row>
    <row r="19" spans="3:11" x14ac:dyDescent="0.3">
      <c r="C19" s="6" t="s">
        <v>408</v>
      </c>
      <c r="D19" s="454">
        <f>0.5*E9+0.5*D9</f>
        <v>16147.558913359911</v>
      </c>
      <c r="E19" s="454">
        <f>F9+0.5*E9</f>
        <v>33957.333023495186</v>
      </c>
      <c r="F19" s="454">
        <f t="shared" ref="F19:J19" si="5">G9</f>
        <v>27399.588893316166</v>
      </c>
      <c r="G19" s="454">
        <f t="shared" si="5"/>
        <v>10135.210374957032</v>
      </c>
      <c r="H19" s="454">
        <f t="shared" si="5"/>
        <v>0</v>
      </c>
      <c r="I19" s="454">
        <f t="shared" si="5"/>
        <v>0</v>
      </c>
      <c r="J19" s="454">
        <f t="shared" si="5"/>
        <v>0</v>
      </c>
      <c r="K19" s="420">
        <f t="shared" si="4"/>
        <v>37534.7992682732</v>
      </c>
    </row>
    <row r="20" spans="3:11" x14ac:dyDescent="0.3">
      <c r="C20" s="8" t="s">
        <v>736</v>
      </c>
      <c r="D20" s="502">
        <f>SUM(D17:D19)</f>
        <v>109086.64165559364</v>
      </c>
      <c r="E20" s="502">
        <f t="shared" ref="E20" si="6">SUM(E17:E19)</f>
        <v>109312.540175815</v>
      </c>
      <c r="F20" s="502">
        <f t="shared" ref="F20" si="7">SUM(F17:F19)</f>
        <v>35796.774485961818</v>
      </c>
      <c r="G20" s="502">
        <f t="shared" ref="G20" si="8">SUM(G17:G19)</f>
        <v>13744.608480751907</v>
      </c>
      <c r="H20" s="502">
        <f t="shared" ref="H20" si="9">SUM(H17:H19)</f>
        <v>0</v>
      </c>
      <c r="I20" s="502">
        <f t="shared" ref="I20" si="10">SUM(I17:I19)</f>
        <v>0</v>
      </c>
      <c r="J20" s="502">
        <f t="shared" ref="J20:K20" si="11">SUM(J17:J19)</f>
        <v>0</v>
      </c>
      <c r="K20" s="502">
        <f t="shared" si="11"/>
        <v>49541.382966713732</v>
      </c>
    </row>
    <row r="21" spans="3:11" x14ac:dyDescent="0.3">
      <c r="C21" s="6" t="s">
        <v>651</v>
      </c>
      <c r="D21" s="454">
        <f t="shared" ref="D21" si="12">0.5*E11+0.5*D11</f>
        <v>0</v>
      </c>
      <c r="E21" s="454">
        <f t="shared" ref="E21" si="13">F11+0.5*E11</f>
        <v>0</v>
      </c>
      <c r="F21" s="454">
        <f t="shared" ref="F21:J21" si="14">G11</f>
        <v>0</v>
      </c>
      <c r="G21" s="454">
        <f t="shared" si="14"/>
        <v>12005.835724716793</v>
      </c>
      <c r="H21" s="454">
        <f t="shared" si="14"/>
        <v>21343.613480876436</v>
      </c>
      <c r="I21" s="454">
        <f t="shared" si="14"/>
        <v>30775.991688868446</v>
      </c>
      <c r="J21" s="454">
        <f t="shared" si="14"/>
        <v>33637.208861343752</v>
      </c>
      <c r="K21" s="420">
        <f t="shared" si="4"/>
        <v>97762.649755805425</v>
      </c>
    </row>
    <row r="22" spans="3:11" x14ac:dyDescent="0.3">
      <c r="C22" s="8" t="s">
        <v>653</v>
      </c>
      <c r="D22" s="421">
        <f>SUM(D20:D21)</f>
        <v>109086.64165559364</v>
      </c>
      <c r="E22" s="421">
        <f t="shared" ref="E22:K22" si="15">SUM(E20:E21)</f>
        <v>109312.540175815</v>
      </c>
      <c r="F22" s="421">
        <f t="shared" si="15"/>
        <v>35796.774485961818</v>
      </c>
      <c r="G22" s="421">
        <f t="shared" si="15"/>
        <v>25750.444205468702</v>
      </c>
      <c r="H22" s="421">
        <f t="shared" si="15"/>
        <v>21343.613480876436</v>
      </c>
      <c r="I22" s="421">
        <f t="shared" si="15"/>
        <v>30775.991688868446</v>
      </c>
      <c r="J22" s="421">
        <f t="shared" si="15"/>
        <v>33637.208861343752</v>
      </c>
      <c r="K22" s="421">
        <f t="shared" si="15"/>
        <v>147304.03272251916</v>
      </c>
    </row>
    <row r="24" spans="3:11" x14ac:dyDescent="0.3">
      <c r="C24" s="2" t="s">
        <v>734</v>
      </c>
    </row>
    <row r="25" spans="3:11" x14ac:dyDescent="0.3">
      <c r="C25" s="520" t="s">
        <v>737</v>
      </c>
      <c r="D25" s="522"/>
    </row>
    <row r="26" spans="3:11" x14ac:dyDescent="0.3">
      <c r="D26" s="17">
        <v>2019</v>
      </c>
      <c r="E26" s="17">
        <v>2020</v>
      </c>
      <c r="F26" s="17" t="s">
        <v>701</v>
      </c>
      <c r="G26" s="17" t="s">
        <v>621</v>
      </c>
      <c r="H26" s="17" t="s">
        <v>622</v>
      </c>
      <c r="I26" s="17" t="s">
        <v>623</v>
      </c>
      <c r="J26" s="17" t="s">
        <v>624</v>
      </c>
      <c r="K26" s="17" t="s">
        <v>625</v>
      </c>
    </row>
    <row r="27" spans="3:11" x14ac:dyDescent="0.3">
      <c r="C27" s="6" t="s">
        <v>33</v>
      </c>
      <c r="D27" s="375">
        <v>75845.295547493093</v>
      </c>
      <c r="E27" s="375">
        <v>98479.795875572978</v>
      </c>
      <c r="F27" s="375">
        <v>29760.367066441439</v>
      </c>
      <c r="G27" s="375">
        <v>24793.818267337654</v>
      </c>
      <c r="H27" s="375">
        <v>8787.9768853931255</v>
      </c>
      <c r="I27" s="375">
        <v>0</v>
      </c>
      <c r="J27" s="375">
        <v>0</v>
      </c>
      <c r="K27" s="375">
        <v>0</v>
      </c>
    </row>
    <row r="28" spans="3:11" x14ac:dyDescent="0.3">
      <c r="C28" s="6" t="s">
        <v>732</v>
      </c>
      <c r="D28" s="375">
        <v>11536.568370310089</v>
      </c>
      <c r="E28" s="375">
        <v>29802.206977027021</v>
      </c>
      <c r="F28" s="375">
        <v>14429.907761261262</v>
      </c>
      <c r="G28" s="375">
        <v>10968.315661888671</v>
      </c>
      <c r="H28" s="375">
        <v>4942.5185772400691</v>
      </c>
      <c r="I28" s="375">
        <v>0</v>
      </c>
      <c r="J28" s="375">
        <v>0</v>
      </c>
      <c r="K28" s="375">
        <v>0</v>
      </c>
    </row>
    <row r="29" spans="3:11" x14ac:dyDescent="0.3">
      <c r="C29" s="6" t="s">
        <v>34</v>
      </c>
      <c r="D29" s="375">
        <v>558.98943561367287</v>
      </c>
      <c r="E29" s="375">
        <v>224.4</v>
      </c>
      <c r="F29" s="375">
        <v>0</v>
      </c>
      <c r="G29" s="375">
        <v>0</v>
      </c>
      <c r="H29" s="375">
        <v>0</v>
      </c>
      <c r="I29" s="501">
        <v>0</v>
      </c>
      <c r="J29" s="501">
        <v>0</v>
      </c>
      <c r="K29" s="375">
        <v>0</v>
      </c>
    </row>
    <row r="30" spans="3:11" x14ac:dyDescent="0.3">
      <c r="C30" s="6" t="s">
        <v>397</v>
      </c>
      <c r="D30" s="375">
        <v>28.91486853910196</v>
      </c>
      <c r="E30" s="375">
        <v>1697.11223663133</v>
      </c>
      <c r="F30" s="375">
        <v>20.507803496642804</v>
      </c>
      <c r="G30" s="375">
        <v>34.640556735496219</v>
      </c>
      <c r="H30" s="375">
        <v>14.113018118712526</v>
      </c>
      <c r="I30" s="375">
        <v>0</v>
      </c>
      <c r="J30" s="375">
        <v>0</v>
      </c>
      <c r="K30" s="375">
        <v>0</v>
      </c>
    </row>
    <row r="31" spans="3:11" x14ac:dyDescent="0.3">
      <c r="C31" s="8" t="s">
        <v>735</v>
      </c>
      <c r="D31" s="376">
        <f>SUM(D27:D30)</f>
        <v>87969.768221955965</v>
      </c>
      <c r="E31" s="376">
        <f t="shared" ref="E31:K31" si="16">SUM(E27:E30)</f>
        <v>130203.51508923132</v>
      </c>
      <c r="F31" s="376">
        <f t="shared" si="16"/>
        <v>44210.782631199341</v>
      </c>
      <c r="G31" s="376">
        <f t="shared" si="16"/>
        <v>35796.774485961825</v>
      </c>
      <c r="H31" s="376">
        <f t="shared" si="16"/>
        <v>13744.608480751907</v>
      </c>
      <c r="I31" s="376">
        <f t="shared" si="16"/>
        <v>0</v>
      </c>
      <c r="J31" s="376">
        <f t="shared" si="16"/>
        <v>0</v>
      </c>
      <c r="K31" s="376">
        <f t="shared" si="16"/>
        <v>0</v>
      </c>
    </row>
    <row r="32" spans="3:11" x14ac:dyDescent="0.3">
      <c r="D32" s="159">
        <f>D31-D10</f>
        <v>0</v>
      </c>
      <c r="E32" s="159">
        <f t="shared" ref="E32:H32" si="17">E31-E10</f>
        <v>0</v>
      </c>
      <c r="F32" s="159">
        <f t="shared" si="17"/>
        <v>0</v>
      </c>
      <c r="G32" s="159">
        <f t="shared" si="17"/>
        <v>0</v>
      </c>
      <c r="H32" s="159">
        <f t="shared" si="17"/>
        <v>0</v>
      </c>
      <c r="I32" s="159">
        <f t="shared" ref="I32" si="18">I31-I10</f>
        <v>0</v>
      </c>
      <c r="J32" s="159">
        <f t="shared" ref="J32" si="19">J31-J10</f>
        <v>0</v>
      </c>
      <c r="K32" s="159">
        <f t="shared" ref="K32" si="20">K31-K10</f>
        <v>0</v>
      </c>
    </row>
    <row r="33" spans="3:11" ht="9.6" customHeight="1" x14ac:dyDescent="0.3">
      <c r="D33" s="159"/>
      <c r="E33" s="159"/>
      <c r="F33" s="159"/>
      <c r="G33" s="159"/>
      <c r="H33" s="159"/>
    </row>
    <row r="34" spans="3:11" x14ac:dyDescent="0.3">
      <c r="C34" s="2" t="s">
        <v>733</v>
      </c>
      <c r="D34" s="159"/>
      <c r="E34" s="159"/>
    </row>
    <row r="35" spans="3:11" x14ac:dyDescent="0.3">
      <c r="C35" s="520" t="s">
        <v>737</v>
      </c>
      <c r="D35" s="521"/>
      <c r="E35" s="159"/>
      <c r="K35" s="17" t="s">
        <v>146</v>
      </c>
    </row>
    <row r="36" spans="3:11" x14ac:dyDescent="0.3">
      <c r="D36" s="385" t="s">
        <v>626</v>
      </c>
      <c r="E36" s="385" t="s">
        <v>620</v>
      </c>
      <c r="F36" s="385" t="s">
        <v>621</v>
      </c>
      <c r="G36" s="385" t="s">
        <v>622</v>
      </c>
      <c r="H36" s="385" t="s">
        <v>623</v>
      </c>
      <c r="I36" s="385" t="s">
        <v>624</v>
      </c>
      <c r="J36" s="385" t="s">
        <v>625</v>
      </c>
      <c r="K36" s="17" t="str">
        <f>NReg_Period</f>
        <v>2022-26</v>
      </c>
    </row>
    <row r="37" spans="3:11" x14ac:dyDescent="0.3">
      <c r="C37" s="6" t="s">
        <v>33</v>
      </c>
      <c r="D37" s="375">
        <f>0.5*D27+0.5*E27</f>
        <v>87162.545711533036</v>
      </c>
      <c r="E37" s="375">
        <f>0.5*E27+F27</f>
        <v>79000.265004227927</v>
      </c>
      <c r="F37" s="375">
        <f>G27</f>
        <v>24793.818267337654</v>
      </c>
      <c r="G37" s="375">
        <v>8787.9768853931255</v>
      </c>
      <c r="H37" s="375">
        <v>0</v>
      </c>
      <c r="I37" s="375">
        <v>0</v>
      </c>
      <c r="J37" s="375">
        <v>0</v>
      </c>
      <c r="K37" s="420">
        <f t="shared" ref="K37:K40" si="21">SUM(F37:J37)</f>
        <v>33581.795152730781</v>
      </c>
    </row>
    <row r="38" spans="3:11" x14ac:dyDescent="0.3">
      <c r="C38" s="6" t="s">
        <v>732</v>
      </c>
      <c r="D38" s="375">
        <f>0.5*D28+0.5*E28</f>
        <v>20669.387673668556</v>
      </c>
      <c r="E38" s="375">
        <f>0.5*E28+F28</f>
        <v>29331.011249774772</v>
      </c>
      <c r="F38" s="375">
        <f t="shared" ref="F38" si="22">G28</f>
        <v>10968.315661888671</v>
      </c>
      <c r="G38" s="375">
        <v>4942.5185772400691</v>
      </c>
      <c r="H38" s="375">
        <v>0</v>
      </c>
      <c r="I38" s="375">
        <v>0</v>
      </c>
      <c r="J38" s="375">
        <v>0</v>
      </c>
      <c r="K38" s="420">
        <f t="shared" si="21"/>
        <v>15910.834239128741</v>
      </c>
    </row>
    <row r="39" spans="3:11" x14ac:dyDescent="0.3">
      <c r="C39" s="6" t="s">
        <v>34</v>
      </c>
      <c r="D39" s="375">
        <f>0.5*D29+0.5*E29</f>
        <v>391.69471780683642</v>
      </c>
      <c r="E39" s="375">
        <f>0.5*E29+F29</f>
        <v>112.2</v>
      </c>
      <c r="F39" s="375">
        <f t="shared" ref="F39:F40" si="23">G29</f>
        <v>0</v>
      </c>
      <c r="G39" s="375">
        <v>0</v>
      </c>
      <c r="H39" s="375">
        <v>0</v>
      </c>
      <c r="I39" s="375">
        <v>0</v>
      </c>
      <c r="J39" s="375">
        <v>0</v>
      </c>
      <c r="K39" s="420">
        <f t="shared" si="21"/>
        <v>0</v>
      </c>
    </row>
    <row r="40" spans="3:11" x14ac:dyDescent="0.3">
      <c r="C40" s="6" t="s">
        <v>397</v>
      </c>
      <c r="D40" s="375">
        <f>0.5*D30+0.5*E30</f>
        <v>863.01355258521596</v>
      </c>
      <c r="E40" s="375">
        <f>0.5*E30+F30</f>
        <v>869.06392181230785</v>
      </c>
      <c r="F40" s="375">
        <f t="shared" si="23"/>
        <v>34.640556735496219</v>
      </c>
      <c r="G40" s="375">
        <v>14.113018118712526</v>
      </c>
      <c r="H40" s="375">
        <v>0</v>
      </c>
      <c r="I40" s="375">
        <v>0</v>
      </c>
      <c r="J40" s="375">
        <v>0</v>
      </c>
      <c r="K40" s="420">
        <f t="shared" si="21"/>
        <v>48.753574854208743</v>
      </c>
    </row>
    <row r="41" spans="3:11" x14ac:dyDescent="0.3">
      <c r="C41" s="8" t="s">
        <v>735</v>
      </c>
      <c r="D41" s="376">
        <f>SUM(D37:D40)</f>
        <v>109086.64165559363</v>
      </c>
      <c r="E41" s="376">
        <f t="shared" ref="E41:K41" si="24">SUM(E37:E40)</f>
        <v>109312.54017581501</v>
      </c>
      <c r="F41" s="376">
        <f t="shared" si="24"/>
        <v>35796.774485961825</v>
      </c>
      <c r="G41" s="376">
        <f t="shared" si="24"/>
        <v>13744.608480751907</v>
      </c>
      <c r="H41" s="376">
        <f t="shared" si="24"/>
        <v>0</v>
      </c>
      <c r="I41" s="376">
        <f t="shared" si="24"/>
        <v>0</v>
      </c>
      <c r="J41" s="376">
        <f t="shared" si="24"/>
        <v>0</v>
      </c>
      <c r="K41" s="376">
        <f t="shared" si="24"/>
        <v>49541.382966713725</v>
      </c>
    </row>
    <row r="42" spans="3:11" x14ac:dyDescent="0.3">
      <c r="D42" s="159">
        <f>D41-D20</f>
        <v>0</v>
      </c>
      <c r="E42" s="159">
        <f t="shared" ref="E42:H42" si="25">E41-E20</f>
        <v>0</v>
      </c>
      <c r="F42" s="159">
        <f t="shared" si="25"/>
        <v>0</v>
      </c>
      <c r="G42" s="159">
        <f t="shared" si="25"/>
        <v>0</v>
      </c>
      <c r="H42" s="159">
        <f t="shared" si="25"/>
        <v>0</v>
      </c>
      <c r="I42" s="159">
        <f t="shared" ref="I42" si="26">I41-I20</f>
        <v>0</v>
      </c>
      <c r="J42" s="159">
        <f t="shared" ref="J42" si="27">J41-J20</f>
        <v>0</v>
      </c>
      <c r="K42" s="159">
        <f t="shared" ref="K42" si="28">K41-K20</f>
        <v>0</v>
      </c>
    </row>
    <row r="44" spans="3:11" x14ac:dyDescent="0.3">
      <c r="C44" s="2" t="s">
        <v>745</v>
      </c>
      <c r="D44" s="159"/>
      <c r="E44" s="159"/>
    </row>
    <row r="45" spans="3:11" x14ac:dyDescent="0.3">
      <c r="C45" s="519" t="s">
        <v>651</v>
      </c>
      <c r="D45" s="159"/>
      <c r="E45" s="159"/>
      <c r="K45" s="17" t="s">
        <v>146</v>
      </c>
    </row>
    <row r="46" spans="3:11" x14ac:dyDescent="0.3">
      <c r="D46" s="385" t="s">
        <v>626</v>
      </c>
      <c r="E46" s="385" t="s">
        <v>620</v>
      </c>
      <c r="F46" s="385" t="s">
        <v>621</v>
      </c>
      <c r="G46" s="385" t="s">
        <v>622</v>
      </c>
      <c r="H46" s="385" t="s">
        <v>623</v>
      </c>
      <c r="I46" s="385" t="s">
        <v>624</v>
      </c>
      <c r="J46" s="385" t="s">
        <v>625</v>
      </c>
      <c r="K46" s="17" t="str">
        <f>NReg_Period</f>
        <v>2022-26</v>
      </c>
    </row>
    <row r="47" spans="3:11" x14ac:dyDescent="0.3">
      <c r="C47" s="6" t="s">
        <v>33</v>
      </c>
      <c r="D47" s="518"/>
      <c r="E47" s="518"/>
      <c r="F47" s="375">
        <f>SUM(Safety!Q7:Q9)*$G$2</f>
        <v>0</v>
      </c>
      <c r="G47" s="375">
        <v>11653.83859238932</v>
      </c>
      <c r="H47" s="375">
        <v>20706.022214797991</v>
      </c>
      <c r="I47" s="375">
        <v>29849.901136558263</v>
      </c>
      <c r="J47" s="375">
        <v>32632.374764040353</v>
      </c>
      <c r="K47" s="420">
        <f t="shared" ref="K47:K50" si="29">SUM(F47:J47)</f>
        <v>94842.136707785918</v>
      </c>
    </row>
    <row r="48" spans="3:11" x14ac:dyDescent="0.3">
      <c r="C48" s="6" t="s">
        <v>732</v>
      </c>
      <c r="D48" s="518"/>
      <c r="E48" s="518"/>
      <c r="F48" s="375">
        <v>0</v>
      </c>
      <c r="G48" s="375">
        <v>0</v>
      </c>
      <c r="H48" s="375">
        <v>0</v>
      </c>
      <c r="I48" s="375">
        <v>0</v>
      </c>
      <c r="J48" s="375">
        <v>0</v>
      </c>
      <c r="K48" s="420">
        <f t="shared" si="29"/>
        <v>0</v>
      </c>
    </row>
    <row r="49" spans="3:11" x14ac:dyDescent="0.3">
      <c r="C49" s="6" t="s">
        <v>34</v>
      </c>
      <c r="D49" s="518"/>
      <c r="E49" s="518"/>
      <c r="F49" s="375">
        <v>0</v>
      </c>
      <c r="G49" s="375">
        <v>0</v>
      </c>
      <c r="H49" s="375">
        <v>0</v>
      </c>
      <c r="I49" s="375">
        <v>0</v>
      </c>
      <c r="J49" s="375">
        <v>0</v>
      </c>
      <c r="K49" s="420">
        <f t="shared" si="29"/>
        <v>0</v>
      </c>
    </row>
    <row r="50" spans="3:11" x14ac:dyDescent="0.3">
      <c r="C50" s="6" t="s">
        <v>397</v>
      </c>
      <c r="D50" s="518"/>
      <c r="E50" s="518"/>
      <c r="F50" s="375">
        <f>Safety!Q10*$G$2</f>
        <v>0</v>
      </c>
      <c r="G50" s="375">
        <v>351.99713232747075</v>
      </c>
      <c r="H50" s="375">
        <v>637.59126607844394</v>
      </c>
      <c r="I50" s="375">
        <v>926.09055231018363</v>
      </c>
      <c r="J50" s="375">
        <v>1004.8340973034032</v>
      </c>
      <c r="K50" s="420">
        <f t="shared" si="29"/>
        <v>2920.5130480195016</v>
      </c>
    </row>
    <row r="51" spans="3:11" x14ac:dyDescent="0.3">
      <c r="C51" s="8" t="s">
        <v>735</v>
      </c>
      <c r="D51" s="376">
        <f>SUM(D47:D50)</f>
        <v>0</v>
      </c>
      <c r="E51" s="376">
        <f t="shared" ref="E51:K51" si="30">SUM(E47:E50)</f>
        <v>0</v>
      </c>
      <c r="F51" s="376">
        <f t="shared" si="30"/>
        <v>0</v>
      </c>
      <c r="G51" s="376">
        <f t="shared" si="30"/>
        <v>12005.835724716791</v>
      </c>
      <c r="H51" s="376">
        <f t="shared" si="30"/>
        <v>21343.613480876436</v>
      </c>
      <c r="I51" s="376">
        <f t="shared" si="30"/>
        <v>30775.991688868446</v>
      </c>
      <c r="J51" s="376">
        <f t="shared" si="30"/>
        <v>33637.208861343759</v>
      </c>
      <c r="K51" s="376">
        <f t="shared" si="30"/>
        <v>97762.649755805425</v>
      </c>
    </row>
    <row r="52" spans="3:11" x14ac:dyDescent="0.3">
      <c r="D52" s="159">
        <f>D51-D21</f>
        <v>0</v>
      </c>
      <c r="E52" s="159">
        <f t="shared" ref="E52:K52" si="31">E51-E21</f>
        <v>0</v>
      </c>
      <c r="F52" s="159">
        <f t="shared" si="31"/>
        <v>0</v>
      </c>
      <c r="G52" s="159">
        <f t="shared" si="31"/>
        <v>0</v>
      </c>
      <c r="H52" s="159">
        <f t="shared" si="31"/>
        <v>0</v>
      </c>
      <c r="I52" s="159">
        <f t="shared" si="31"/>
        <v>0</v>
      </c>
      <c r="J52" s="159">
        <f t="shared" si="31"/>
        <v>0</v>
      </c>
      <c r="K52" s="159">
        <f t="shared" si="31"/>
        <v>0</v>
      </c>
    </row>
  </sheetData>
  <phoneticPr fontId="46" type="noConversion"/>
  <hyperlinks>
    <hyperlink ref="C2" location="Contents!A1" display="Table of Contents" xr:uid="{886FC3F0-D211-4715-A79C-49B0FD62A048}"/>
  </hyperlinks>
  <pageMargins left="0.7" right="0.7" top="0.75" bottom="0.75" header="0.3" footer="0.3"/>
  <pageSetup paperSize="9" orientation="portrait" r:id="rId1"/>
  <ignoredErrors>
    <ignoredError sqref="D20:J20" formula="1"/>
  </ignoredError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3">
    <tabColor theme="8" tint="-0.499984740745262"/>
  </sheetPr>
  <dimension ref="C3:C4"/>
  <sheetViews>
    <sheetView zoomScale="85" zoomScaleNormal="85" zoomScalePageLayoutView="125" workbookViewId="0">
      <selection activeCell="M25" sqref="M25"/>
    </sheetView>
  </sheetViews>
  <sheetFormatPr defaultColWidth="8.88671875" defaultRowHeight="14.4" x14ac:dyDescent="0.3"/>
  <cols>
    <col min="1" max="1" width="8.88671875" style="22"/>
    <col min="2" max="2" width="5" style="22" customWidth="1"/>
    <col min="3" max="16384" width="8.88671875" style="22"/>
  </cols>
  <sheetData>
    <row r="3" spans="3:3" ht="18" x14ac:dyDescent="0.35">
      <c r="C3" s="21" t="s">
        <v>28</v>
      </c>
    </row>
    <row r="4" spans="3:3" x14ac:dyDescent="0.3">
      <c r="C4" s="26" t="s">
        <v>6</v>
      </c>
    </row>
  </sheetData>
  <hyperlinks>
    <hyperlink ref="C4" location="Contents!A1" display="Table of Contents" xr:uid="{00000000-0004-0000-2600-000000000000}"/>
  </hyperlinks>
  <pageMargins left="0.7" right="0.7" top="0.75" bottom="0.75" header="0.3" footer="0.3"/>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4"/>
  <dimension ref="B1:AA53"/>
  <sheetViews>
    <sheetView zoomScale="85" zoomScaleNormal="85" zoomScalePageLayoutView="125" workbookViewId="0">
      <selection activeCell="E13" sqref="E13"/>
    </sheetView>
  </sheetViews>
  <sheetFormatPr defaultColWidth="8.88671875" defaultRowHeight="14.4" outlineLevelCol="1" x14ac:dyDescent="0.3"/>
  <cols>
    <col min="1" max="1" width="4.6640625" style="1" customWidth="1"/>
    <col min="2" max="2" width="5.88671875" style="1" customWidth="1"/>
    <col min="3" max="3" width="37.88671875" style="1" customWidth="1"/>
    <col min="4" max="4" width="13.5546875" style="1" hidden="1" customWidth="1"/>
    <col min="5" max="5" width="15.109375" style="1" customWidth="1"/>
    <col min="6" max="6" width="14.5546875" style="1" customWidth="1"/>
    <col min="7" max="7" width="13.88671875" style="1" customWidth="1"/>
    <col min="8" max="11" width="13.109375" style="1" customWidth="1"/>
    <col min="12" max="12" width="14.6640625" style="1" customWidth="1"/>
    <col min="13" max="13" width="12.109375" style="1" customWidth="1"/>
    <col min="14" max="14" width="8.6640625" style="1" customWidth="1"/>
    <col min="15" max="16" width="9.6640625" style="1" hidden="1" customWidth="1" outlineLevel="1"/>
    <col min="17" max="19" width="9.109375" style="1" hidden="1" customWidth="1" outlineLevel="1"/>
    <col min="20" max="20" width="8.109375" style="1" customWidth="1" collapsed="1"/>
    <col min="21" max="22" width="8.109375" style="1" customWidth="1"/>
    <col min="23" max="27" width="12.33203125" style="1" customWidth="1"/>
    <col min="28" max="16384" width="8.88671875" style="1"/>
  </cols>
  <sheetData>
    <row r="1" spans="2:27" ht="18" x14ac:dyDescent="0.35">
      <c r="B1" s="10" t="s">
        <v>29</v>
      </c>
    </row>
    <row r="2" spans="2:27" x14ac:dyDescent="0.3">
      <c r="B2" s="25" t="s">
        <v>6</v>
      </c>
    </row>
    <row r="3" spans="2:27" x14ac:dyDescent="0.3">
      <c r="F3" s="301"/>
      <c r="G3" s="301"/>
      <c r="H3" s="301"/>
      <c r="I3" s="301"/>
      <c r="J3" s="301"/>
      <c r="K3" s="301"/>
      <c r="O3" s="41"/>
      <c r="P3" s="41"/>
      <c r="Q3" s="87"/>
      <c r="R3" s="87"/>
      <c r="S3" s="87"/>
      <c r="T3" s="87"/>
      <c r="U3" s="87"/>
      <c r="V3" s="87"/>
    </row>
    <row r="4" spans="2:27" x14ac:dyDescent="0.3">
      <c r="B4" s="12"/>
      <c r="F4" s="158"/>
      <c r="G4" s="158"/>
      <c r="H4" s="158"/>
      <c r="I4" s="158"/>
      <c r="J4" s="158"/>
      <c r="K4" s="158"/>
      <c r="O4" s="41"/>
      <c r="P4" s="41"/>
      <c r="Q4" s="307"/>
      <c r="R4" s="307"/>
      <c r="S4" s="307"/>
      <c r="T4" s="307"/>
      <c r="U4" s="307"/>
      <c r="V4" s="307"/>
    </row>
    <row r="5" spans="2:27" x14ac:dyDescent="0.3">
      <c r="B5" s="12" t="s">
        <v>30</v>
      </c>
      <c r="O5" s="41"/>
      <c r="P5" s="41"/>
      <c r="Q5" s="41"/>
      <c r="R5" s="41"/>
      <c r="S5" s="41"/>
      <c r="T5" s="41"/>
      <c r="U5" s="41"/>
      <c r="V5" s="41"/>
    </row>
    <row r="6" spans="2:27" x14ac:dyDescent="0.3">
      <c r="B6" s="2"/>
      <c r="G6" s="55"/>
      <c r="O6" s="41" t="s">
        <v>549</v>
      </c>
      <c r="P6" s="41"/>
      <c r="Q6" s="41"/>
      <c r="R6" s="41"/>
      <c r="S6" s="41"/>
      <c r="T6" s="41"/>
      <c r="U6" s="41"/>
      <c r="V6" s="41"/>
    </row>
    <row r="7" spans="2:27" ht="27" customHeight="1" x14ac:dyDescent="0.3">
      <c r="C7" s="2"/>
      <c r="D7" s="2"/>
      <c r="E7" s="619" t="s">
        <v>601</v>
      </c>
      <c r="F7" s="620"/>
      <c r="G7" s="620"/>
      <c r="H7" s="620"/>
      <c r="I7" s="620"/>
      <c r="J7" s="620"/>
      <c r="K7" s="621"/>
      <c r="O7" s="323">
        <f>1+Escalators!Q12</f>
        <v>1.02</v>
      </c>
      <c r="P7" s="323">
        <f>O7*(1+Escalators!R12)</f>
        <v>1.0449900000000001</v>
      </c>
      <c r="Q7" s="323">
        <f>P7*(1+Escalators!S12)</f>
        <v>1.070592255</v>
      </c>
      <c r="R7" s="323">
        <f>Q7*(1+Escalators!T12)</f>
        <v>1.0968217652474999</v>
      </c>
      <c r="S7" s="323">
        <f>R7*(1+Escalators!U12)</f>
        <v>1.1236938984960636</v>
      </c>
      <c r="T7" s="41"/>
      <c r="U7" s="41"/>
      <c r="V7" s="41"/>
    </row>
    <row r="8" spans="2:27" ht="15" thickBot="1" x14ac:dyDescent="0.35">
      <c r="D8" s="385"/>
      <c r="E8" s="17" t="s">
        <v>626</v>
      </c>
      <c r="F8" s="335" t="s">
        <v>620</v>
      </c>
      <c r="G8" s="335">
        <f>Yr_1</f>
        <v>44742</v>
      </c>
      <c r="H8" s="335">
        <f>Yr_2</f>
        <v>45107</v>
      </c>
      <c r="I8" s="335">
        <f>Yr_3</f>
        <v>45473</v>
      </c>
      <c r="J8" s="335">
        <f>Yr_4</f>
        <v>45838</v>
      </c>
      <c r="K8" s="335">
        <f>Yr_5</f>
        <v>46203</v>
      </c>
      <c r="L8" s="18" t="str">
        <f>NReg_Period</f>
        <v>2022-26</v>
      </c>
      <c r="O8" s="322" t="s">
        <v>400</v>
      </c>
      <c r="P8" s="328" t="s">
        <v>401</v>
      </c>
      <c r="Q8" s="328" t="s">
        <v>595</v>
      </c>
      <c r="R8" s="328" t="s">
        <v>596</v>
      </c>
      <c r="S8" s="328" t="s">
        <v>597</v>
      </c>
      <c r="T8" s="308"/>
      <c r="U8" s="308"/>
      <c r="V8" s="308"/>
    </row>
    <row r="9" spans="2:27" x14ac:dyDescent="0.3">
      <c r="C9" s="167" t="s">
        <v>31</v>
      </c>
      <c r="D9" s="382"/>
      <c r="E9" s="395">
        <f>0.5*E24*Escalators!N$17+0.5*F24*Escalators!O$17</f>
        <v>133914630.9154004</v>
      </c>
      <c r="F9" s="168">
        <f>0.5*F24*Escalators!O$17+G24*Escalators!Q$17</f>
        <v>160792424.43609089</v>
      </c>
      <c r="G9" s="168">
        <v>148475694.19769377</v>
      </c>
      <c r="H9" s="168">
        <v>150722818.0612911</v>
      </c>
      <c r="I9" s="168">
        <v>147984662.92283458</v>
      </c>
      <c r="J9" s="168">
        <v>132012503.70489204</v>
      </c>
      <c r="K9" s="169">
        <v>123609643.3338408</v>
      </c>
      <c r="L9" s="47">
        <f t="shared" ref="L9:L14" si="0">SUM(G9:K9)</f>
        <v>702805322.22055233</v>
      </c>
      <c r="O9" s="113">
        <f t="shared" ref="O9:S14" si="1">G9/Millions*O$7</f>
        <v>151.44520808164765</v>
      </c>
      <c r="P9" s="113">
        <f t="shared" si="1"/>
        <v>157.5038376458686</v>
      </c>
      <c r="Q9" s="113">
        <f t="shared" si="1"/>
        <v>158.43123398397236</v>
      </c>
      <c r="R9" s="113">
        <f t="shared" si="1"/>
        <v>144.79418734834178</v>
      </c>
      <c r="S9" s="113">
        <f t="shared" si="1"/>
        <v>138.89940200951153</v>
      </c>
      <c r="T9" s="50"/>
      <c r="U9" s="50"/>
      <c r="V9" s="50"/>
      <c r="W9" s="219"/>
      <c r="X9" s="219"/>
      <c r="Y9" s="219"/>
      <c r="Z9" s="219"/>
      <c r="AA9" s="219"/>
    </row>
    <row r="10" spans="2:27" x14ac:dyDescent="0.3">
      <c r="C10" s="170" t="s">
        <v>32</v>
      </c>
      <c r="D10" s="383"/>
      <c r="E10" s="396">
        <f>0.5*E25*Escalators!N$17+0.5*F25*Escalators!O$17</f>
        <v>102870322.24100851</v>
      </c>
      <c r="F10" s="171">
        <f>0.5*F25*Escalators!O$17+G25*Escalators!Q$17</f>
        <v>105193995.13286962</v>
      </c>
      <c r="G10" s="171">
        <v>106971646.23061639</v>
      </c>
      <c r="H10" s="171">
        <v>105593271.36136366</v>
      </c>
      <c r="I10" s="171">
        <v>104324989.29624884</v>
      </c>
      <c r="J10" s="171">
        <v>105697030.47208519</v>
      </c>
      <c r="K10" s="172">
        <v>107016530.21664727</v>
      </c>
      <c r="L10" s="47">
        <f t="shared" si="0"/>
        <v>529603467.57696134</v>
      </c>
      <c r="O10" s="113">
        <f t="shared" si="1"/>
        <v>109.11107915522872</v>
      </c>
      <c r="P10" s="113">
        <f t="shared" si="1"/>
        <v>110.34391263991142</v>
      </c>
      <c r="Q10" s="113">
        <f t="shared" si="1"/>
        <v>111.68952554352191</v>
      </c>
      <c r="R10" s="113">
        <f t="shared" si="1"/>
        <v>115.93080354381127</v>
      </c>
      <c r="S10" s="113">
        <f t="shared" si="1"/>
        <v>120.25382204266616</v>
      </c>
      <c r="T10" s="50"/>
      <c r="U10" s="50"/>
      <c r="V10" s="50"/>
      <c r="W10" s="219"/>
      <c r="X10" s="219"/>
      <c r="Y10" s="219"/>
      <c r="Z10" s="219"/>
      <c r="AA10" s="219"/>
    </row>
    <row r="11" spans="2:27" x14ac:dyDescent="0.3">
      <c r="C11" s="170" t="s">
        <v>33</v>
      </c>
      <c r="D11" s="383"/>
      <c r="E11" s="396">
        <f>0.5*E26*Escalators!N$17+0.5*F26*Escalators!O$17</f>
        <v>125073930.47554509</v>
      </c>
      <c r="F11" s="171">
        <f>0.5*F26*Escalators!O$17+G26*Escalators!Q$17</f>
        <v>104209177.0338901</v>
      </c>
      <c r="G11" s="171">
        <v>43428451.772343919</v>
      </c>
      <c r="H11" s="171">
        <v>41260902.571705468</v>
      </c>
      <c r="I11" s="171">
        <v>39112979.575283088</v>
      </c>
      <c r="J11" s="171">
        <v>44851875.409484647</v>
      </c>
      <c r="K11" s="172">
        <v>47349535.067849144</v>
      </c>
      <c r="L11" s="47">
        <f t="shared" si="0"/>
        <v>216003744.39666629</v>
      </c>
      <c r="O11" s="113">
        <f t="shared" si="1"/>
        <v>44.297020807790801</v>
      </c>
      <c r="P11" s="113">
        <f t="shared" si="1"/>
        <v>43.117230578406499</v>
      </c>
      <c r="Q11" s="113">
        <f t="shared" si="1"/>
        <v>41.874053003271257</v>
      </c>
      <c r="R11" s="113">
        <f t="shared" si="1"/>
        <v>49.19451316129188</v>
      </c>
      <c r="S11" s="113">
        <f t="shared" si="1"/>
        <v>53.206383652367485</v>
      </c>
      <c r="T11" s="50"/>
      <c r="U11" s="50"/>
      <c r="V11" s="50"/>
      <c r="W11" s="219"/>
      <c r="X11" s="219"/>
      <c r="Y11" s="219"/>
      <c r="Z11" s="219"/>
      <c r="AA11" s="219"/>
    </row>
    <row r="12" spans="2:27" x14ac:dyDescent="0.3">
      <c r="C12" s="170" t="s">
        <v>34</v>
      </c>
      <c r="D12" s="383"/>
      <c r="E12" s="396">
        <f>0.5*E27*Escalators!N$17+0.5*F27*Escalators!O$17</f>
        <v>84369506.16971983</v>
      </c>
      <c r="F12" s="171">
        <f>0.5*F27*Escalators!O$17+G27*Escalators!Q$17</f>
        <v>61005466.648324244</v>
      </c>
      <c r="G12" s="171">
        <v>55888624.266389839</v>
      </c>
      <c r="H12" s="171">
        <v>39745938.037413381</v>
      </c>
      <c r="I12" s="171">
        <v>44092777.780731678</v>
      </c>
      <c r="J12" s="171">
        <v>38940567.454876393</v>
      </c>
      <c r="K12" s="172">
        <v>45979809.186532825</v>
      </c>
      <c r="L12" s="47">
        <f t="shared" si="0"/>
        <v>224647716.7259441</v>
      </c>
      <c r="O12" s="113">
        <f t="shared" si="1"/>
        <v>57.006396751717638</v>
      </c>
      <c r="P12" s="113">
        <f t="shared" si="1"/>
        <v>41.534107789716614</v>
      </c>
      <c r="Q12" s="113">
        <f t="shared" si="1"/>
        <v>47.205386393487423</v>
      </c>
      <c r="R12" s="113">
        <f t="shared" si="1"/>
        <v>42.710861935596867</v>
      </c>
      <c r="S12" s="113">
        <f t="shared" si="1"/>
        <v>51.667231036920192</v>
      </c>
      <c r="T12" s="50"/>
      <c r="U12" s="50"/>
      <c r="V12" s="50"/>
      <c r="W12" s="219"/>
      <c r="X12" s="219"/>
      <c r="Y12" s="219"/>
      <c r="Z12" s="219"/>
      <c r="AA12" s="219"/>
    </row>
    <row r="13" spans="2:27" x14ac:dyDescent="0.3">
      <c r="C13" s="170" t="s">
        <v>35</v>
      </c>
      <c r="D13" s="383"/>
      <c r="E13" s="397">
        <f>AusNet_Overheads!I32*Thousands*Escalators!$Q$14</f>
        <v>26676237.028954912</v>
      </c>
      <c r="F13" s="171">
        <f>AusNet_Overheads!J32*Thousands*Escalators!$Q$14</f>
        <v>25606188.581280082</v>
      </c>
      <c r="G13" s="171">
        <f>AusNet_Overheads!K32*Thousands*Escalators!$Q$14</f>
        <v>25081027.813311782</v>
      </c>
      <c r="H13" s="171">
        <f>AusNet_Overheads!L32*Thousands*Escalators!$Q$14</f>
        <v>24655280.391756963</v>
      </c>
      <c r="I13" s="171">
        <f>AusNet_Overheads!M32*Thousands*Escalators!$Q$14</f>
        <v>24655280.391756963</v>
      </c>
      <c r="J13" s="171">
        <f>AusNet_Overheads!N32*Thousands*Escalators!$Q$14</f>
        <v>24655280.391756963</v>
      </c>
      <c r="K13" s="172">
        <f>AusNet_Overheads!O32*Thousands*Escalators!$Q$14</f>
        <v>24655280.391756963</v>
      </c>
      <c r="L13" s="47">
        <f t="shared" si="0"/>
        <v>123702149.38033964</v>
      </c>
      <c r="O13" s="113">
        <f t="shared" si="1"/>
        <v>25.582648369578017</v>
      </c>
      <c r="P13" s="113">
        <f t="shared" si="1"/>
        <v>25.764521456582113</v>
      </c>
      <c r="Q13" s="113">
        <f t="shared" si="1"/>
        <v>26.395752232268372</v>
      </c>
      <c r="R13" s="113">
        <f t="shared" si="1"/>
        <v>27.042448161958944</v>
      </c>
      <c r="S13" s="113">
        <f t="shared" si="1"/>
        <v>27.704988141926936</v>
      </c>
      <c r="T13" s="50"/>
      <c r="U13" s="50"/>
      <c r="V13" s="50"/>
      <c r="W13" s="219"/>
      <c r="X13" s="219"/>
      <c r="Y13" s="219"/>
      <c r="Z13" s="219"/>
      <c r="AA13" s="219"/>
    </row>
    <row r="14" spans="2:27" ht="15" thickBot="1" x14ac:dyDescent="0.35">
      <c r="C14" s="381" t="s">
        <v>36</v>
      </c>
      <c r="D14" s="384"/>
      <c r="E14" s="397">
        <f>AusNet_Overheads!I33*Thousands*Escalators!$Q$14</f>
        <v>5052559.5892935973</v>
      </c>
      <c r="F14" s="171">
        <f>AusNet_Overheads!J33*Thousands*Escalators!$Q$14</f>
        <v>4849889.1924366541</v>
      </c>
      <c r="G14" s="171">
        <f>AusNet_Overheads!K33*Thousands*Escalators!$Q$14</f>
        <v>4750422.1622389918</v>
      </c>
      <c r="H14" s="171">
        <f>AusNet_Overheads!L33*Thousands*Escalators!$Q$14</f>
        <v>4669784.3190882141</v>
      </c>
      <c r="I14" s="171">
        <f>AusNet_Overheads!M33*Thousands*Escalators!$Q$14</f>
        <v>4669784.3190882141</v>
      </c>
      <c r="J14" s="171">
        <f>AusNet_Overheads!N33*Thousands*Escalators!$Q$14</f>
        <v>4669784.3190882141</v>
      </c>
      <c r="K14" s="172">
        <f>AusNet_Overheads!O33*Thousands*Escalators!$Q$14</f>
        <v>4669784.3190882141</v>
      </c>
      <c r="L14" s="47">
        <f t="shared" si="0"/>
        <v>23429559.438591845</v>
      </c>
      <c r="O14" s="113">
        <f t="shared" si="1"/>
        <v>4.845430605483771</v>
      </c>
      <c r="P14" s="113">
        <f t="shared" si="1"/>
        <v>4.879877915603994</v>
      </c>
      <c r="Q14" s="113">
        <f t="shared" si="1"/>
        <v>4.999434924536291</v>
      </c>
      <c r="R14" s="113">
        <f t="shared" si="1"/>
        <v>5.1219210801874295</v>
      </c>
      <c r="S14" s="113">
        <f t="shared" si="1"/>
        <v>5.2474081466520213</v>
      </c>
      <c r="T14" s="50"/>
      <c r="U14" s="50"/>
      <c r="V14" s="50"/>
      <c r="W14" s="219"/>
      <c r="X14" s="219"/>
      <c r="Y14" s="219"/>
      <c r="Z14" s="219"/>
      <c r="AA14" s="219"/>
    </row>
    <row r="15" spans="2:27" ht="27" thickBot="1" x14ac:dyDescent="0.35">
      <c r="C15" s="386" t="s">
        <v>37</v>
      </c>
      <c r="D15" s="380"/>
      <c r="E15" s="398">
        <f t="shared" ref="E15:K15" si="2">SUM(E9:E14)</f>
        <v>477957186.41992235</v>
      </c>
      <c r="F15" s="173">
        <f t="shared" si="2"/>
        <v>461657141.02489156</v>
      </c>
      <c r="G15" s="173">
        <f t="shared" si="2"/>
        <v>384595866.44259471</v>
      </c>
      <c r="H15" s="173">
        <f t="shared" si="2"/>
        <v>366647994.74261874</v>
      </c>
      <c r="I15" s="173">
        <f t="shared" si="2"/>
        <v>364840474.28594339</v>
      </c>
      <c r="J15" s="173">
        <f t="shared" si="2"/>
        <v>350827041.75218338</v>
      </c>
      <c r="K15" s="174">
        <f t="shared" si="2"/>
        <v>353280582.51571518</v>
      </c>
      <c r="L15" s="176">
        <f>SUM(L9:L14)</f>
        <v>1820191959.7390556</v>
      </c>
      <c r="M15" s="250">
        <f>L15-RFM_PTRM!T17*Millions</f>
        <v>0</v>
      </c>
      <c r="O15" s="324">
        <f>SUM(O9:O14)</f>
        <v>392.28778377144664</v>
      </c>
      <c r="P15" s="324">
        <f t="shared" ref="P15:S15" si="3">SUM(P9:P14)</f>
        <v>383.14348802608924</v>
      </c>
      <c r="Q15" s="324">
        <f t="shared" si="3"/>
        <v>390.5953860810576</v>
      </c>
      <c r="R15" s="324">
        <f t="shared" si="3"/>
        <v>384.79473523118816</v>
      </c>
      <c r="S15" s="324">
        <f t="shared" si="3"/>
        <v>396.97923503004438</v>
      </c>
      <c r="T15" s="309"/>
      <c r="U15" s="309"/>
      <c r="V15" s="309"/>
    </row>
    <row r="16" spans="2:27" ht="15" thickBot="1" x14ac:dyDescent="0.35">
      <c r="C16" s="175" t="s">
        <v>38</v>
      </c>
      <c r="D16" s="175"/>
      <c r="E16" s="399">
        <f>(RFM_PTRM!L29*0.5/RFM_PTRM!L3*RFM_PTRM!$N$3+RFM_PTRM!M29*0.5/RFM_PTRM!M3*RFM_PTRM!$N$3)*Millions</f>
        <v>68462514.291257992</v>
      </c>
      <c r="F16" s="394">
        <f>(RFM_PTRM!M29*0.5/RFM_PTRM!M3*RFM_PTRM!$N$3+RFM_PTRM!N29)*Millions</f>
        <v>70471995.830687955</v>
      </c>
      <c r="G16" s="177">
        <f>RFM_PTRM!O29*Millions</f>
        <v>72320594.377096742</v>
      </c>
      <c r="H16" s="177">
        <f>RFM_PTRM!P29*Millions</f>
        <v>70447447.43860355</v>
      </c>
      <c r="I16" s="177">
        <f>RFM_PTRM!Q29*Millions</f>
        <v>68807592.119885251</v>
      </c>
      <c r="J16" s="177">
        <f>RFM_PTRM!R29*Millions</f>
        <v>69877527.723339319</v>
      </c>
      <c r="K16" s="178">
        <f>RFM_PTRM!S29*Millions</f>
        <v>70807211.973137051</v>
      </c>
      <c r="L16" s="47">
        <f>SUM(G16:K16)</f>
        <v>352260373.63206196</v>
      </c>
      <c r="M16" s="39">
        <f>L16-RFM_PTRM!T29*Millions</f>
        <v>0</v>
      </c>
      <c r="O16" s="289">
        <f>G16/Millions*O7</f>
        <v>73.767006264638681</v>
      </c>
      <c r="P16" s="289">
        <f>H16/Millions*P7</f>
        <v>73.616878098866323</v>
      </c>
      <c r="Q16" s="289">
        <f>I16/Millions*Q7</f>
        <v>73.664875208748185</v>
      </c>
      <c r="R16" s="289">
        <f>J16/Millions*R7</f>
        <v>76.643193308644129</v>
      </c>
      <c r="S16" s="289">
        <f>K16/Millions*S7</f>
        <v>79.565632063731528</v>
      </c>
      <c r="T16" s="158"/>
      <c r="U16" s="108"/>
      <c r="V16" s="219"/>
      <c r="W16" s="219"/>
      <c r="X16" s="219"/>
      <c r="Y16" s="219"/>
      <c r="Z16" s="219"/>
      <c r="AA16" s="219"/>
    </row>
    <row r="17" spans="3:23" x14ac:dyDescent="0.3">
      <c r="O17" s="158"/>
      <c r="P17" s="158"/>
      <c r="Q17" s="158"/>
      <c r="R17" s="158"/>
      <c r="S17" s="158"/>
      <c r="T17" s="158"/>
      <c r="U17" s="108"/>
      <c r="V17" s="108"/>
      <c r="W17" s="108"/>
    </row>
    <row r="18" spans="3:23" x14ac:dyDescent="0.3">
      <c r="C18" s="1" t="s">
        <v>309</v>
      </c>
      <c r="D18" s="39">
        <f t="shared" ref="D18:E18" si="4">D15-D16</f>
        <v>0</v>
      </c>
      <c r="E18" s="39">
        <f t="shared" si="4"/>
        <v>409494672.12866437</v>
      </c>
      <c r="F18" s="39">
        <f>F15-F16</f>
        <v>391185145.19420362</v>
      </c>
      <c r="G18" s="39">
        <f t="shared" ref="G18:L18" si="5">G15-G16</f>
        <v>312275272.06549799</v>
      </c>
      <c r="H18" s="39">
        <f t="shared" si="5"/>
        <v>296200547.30401516</v>
      </c>
      <c r="I18" s="39">
        <f t="shared" si="5"/>
        <v>296032882.16605812</v>
      </c>
      <c r="J18" s="39">
        <f t="shared" si="5"/>
        <v>280949514.02884406</v>
      </c>
      <c r="K18" s="39">
        <f t="shared" si="5"/>
        <v>282473370.5425781</v>
      </c>
      <c r="L18" s="39">
        <f t="shared" si="5"/>
        <v>1467931586.1069937</v>
      </c>
      <c r="O18" s="325">
        <f>O15-O16</f>
        <v>318.52077750680797</v>
      </c>
      <c r="P18" s="325">
        <f t="shared" ref="P18:S18" si="6">P15-P16</f>
        <v>309.52660992722292</v>
      </c>
      <c r="Q18" s="325">
        <f t="shared" si="6"/>
        <v>316.93051087230941</v>
      </c>
      <c r="R18" s="325">
        <f t="shared" si="6"/>
        <v>308.15154192254403</v>
      </c>
      <c r="S18" s="325">
        <f t="shared" si="6"/>
        <v>317.41360296631285</v>
      </c>
      <c r="T18" s="158"/>
      <c r="U18" s="108"/>
      <c r="V18" s="108"/>
      <c r="W18" s="108"/>
    </row>
    <row r="19" spans="3:23" x14ac:dyDescent="0.3">
      <c r="C19" s="53" t="s">
        <v>133</v>
      </c>
      <c r="D19" s="53"/>
      <c r="E19" s="54">
        <f>E18-(RFM_PTRM!L41*0.5/RFM_PTRM!L3*RFM_PTRM!$N$3+RFM_PTRM!M41*0.5/RFM_PTRM!M3*RFM_PTRM!$N$3)*Millions</f>
        <v>0</v>
      </c>
      <c r="F19" s="54">
        <f>F18-(RFM_PTRM!M41*0.5/RFM_PTRM!M3*RFM_PTRM!$N$3+RFM_PTRM!N41)*Millions</f>
        <v>0</v>
      </c>
      <c r="G19" s="54">
        <f>G18-RFM_PTRM!O41*Millions</f>
        <v>0</v>
      </c>
      <c r="H19" s="54">
        <f>H18-RFM_PTRM!P41*Millions</f>
        <v>0</v>
      </c>
      <c r="I19" s="54">
        <f>I18-RFM_PTRM!Q41*Millions</f>
        <v>0</v>
      </c>
      <c r="J19" s="54">
        <f>J18-RFM_PTRM!R41*Millions</f>
        <v>0</v>
      </c>
      <c r="K19" s="54">
        <f>K18-RFM_PTRM!S41*Millions</f>
        <v>0</v>
      </c>
      <c r="L19" s="54">
        <f>L18-RFM_PTRM!T41*Millions</f>
        <v>0</v>
      </c>
      <c r="O19" s="158"/>
      <c r="P19" s="158"/>
      <c r="Q19" s="158"/>
      <c r="R19" s="158"/>
      <c r="S19" s="158"/>
      <c r="T19" s="158"/>
      <c r="U19" s="108"/>
      <c r="V19" s="108"/>
      <c r="W19" s="108"/>
    </row>
    <row r="20" spans="3:23" x14ac:dyDescent="0.3">
      <c r="O20" s="158"/>
      <c r="P20" s="158"/>
      <c r="Q20" s="158"/>
      <c r="R20" s="158"/>
      <c r="S20" s="158"/>
      <c r="T20" s="158"/>
      <c r="U20" s="108"/>
      <c r="V20" s="108"/>
      <c r="W20" s="108"/>
    </row>
    <row r="21" spans="3:23" x14ac:dyDescent="0.3">
      <c r="C21" s="129" t="s">
        <v>627</v>
      </c>
      <c r="E21" s="411">
        <f>Escalators!N14</f>
        <v>1.0207768744354111</v>
      </c>
      <c r="F21" s="411">
        <f>Escalators!O14</f>
        <v>1.0370370370370372</v>
      </c>
      <c r="G21" s="101">
        <f>Escalators!Q14</f>
        <v>1.0577777777777779</v>
      </c>
      <c r="H21" s="93"/>
      <c r="I21" s="93"/>
      <c r="J21" s="93"/>
      <c r="K21" s="93"/>
      <c r="M21" s="39"/>
      <c r="O21" s="158"/>
      <c r="P21" s="158"/>
      <c r="Q21" s="158"/>
      <c r="R21" s="158"/>
      <c r="S21" s="158"/>
      <c r="T21" s="158"/>
      <c r="U21" s="108"/>
      <c r="V21" s="108"/>
      <c r="W21" s="108"/>
    </row>
    <row r="22" spans="3:23" x14ac:dyDescent="0.3">
      <c r="E22" s="265" t="s">
        <v>628</v>
      </c>
      <c r="F22" s="265" t="s">
        <v>629</v>
      </c>
      <c r="G22" s="410" t="s">
        <v>655</v>
      </c>
      <c r="H22" s="93"/>
      <c r="I22" s="93"/>
      <c r="J22" s="93"/>
      <c r="K22" s="93"/>
    </row>
    <row r="23" spans="3:23" x14ac:dyDescent="0.3">
      <c r="C23" s="391" t="s">
        <v>630</v>
      </c>
      <c r="E23" s="2"/>
      <c r="F23" s="2"/>
      <c r="G23" s="41"/>
      <c r="H23" s="41"/>
      <c r="I23" s="41"/>
      <c r="J23" s="41"/>
      <c r="K23" s="41"/>
    </row>
    <row r="24" spans="3:23" x14ac:dyDescent="0.3">
      <c r="C24" s="390" t="s">
        <v>31</v>
      </c>
      <c r="E24" s="393">
        <v>114607725.27108265</v>
      </c>
      <c r="F24" s="393">
        <v>146144372.62309384</v>
      </c>
      <c r="G24" s="275">
        <v>86258794.398313016</v>
      </c>
      <c r="H24" s="50"/>
      <c r="I24" s="50"/>
      <c r="J24" s="50"/>
      <c r="K24" s="50"/>
    </row>
    <row r="25" spans="3:23" x14ac:dyDescent="0.3">
      <c r="C25" s="57" t="s">
        <v>32</v>
      </c>
      <c r="E25" s="275">
        <v>98417487.251842946</v>
      </c>
      <c r="F25" s="275">
        <v>101721314.75990039</v>
      </c>
      <c r="G25" s="275">
        <v>53316124.605320416</v>
      </c>
      <c r="H25" s="50"/>
      <c r="I25" s="50"/>
      <c r="J25" s="50"/>
      <c r="K25" s="50"/>
    </row>
    <row r="26" spans="3:23" x14ac:dyDescent="0.3">
      <c r="C26" s="57" t="s">
        <v>33</v>
      </c>
      <c r="E26" s="400">
        <v>118105659.63656119</v>
      </c>
      <c r="F26" s="393">
        <v>125256012.20432432</v>
      </c>
      <c r="G26" s="275">
        <v>40328610.809684686</v>
      </c>
      <c r="H26" s="50"/>
      <c r="I26" s="50"/>
      <c r="J26" s="50"/>
      <c r="K26" s="50"/>
    </row>
    <row r="27" spans="3:23" x14ac:dyDescent="0.3">
      <c r="C27" s="57" t="s">
        <v>34</v>
      </c>
      <c r="E27" s="366">
        <v>96457875.25249508</v>
      </c>
      <c r="F27" s="366">
        <v>67436031.873941675</v>
      </c>
      <c r="G27" s="366">
        <v>26613090.392613992</v>
      </c>
      <c r="H27" s="50"/>
      <c r="I27" s="50"/>
      <c r="J27" s="50"/>
      <c r="K27" s="50"/>
    </row>
    <row r="28" spans="3:23" x14ac:dyDescent="0.3">
      <c r="C28" s="2" t="s">
        <v>146</v>
      </c>
      <c r="E28" s="204">
        <f>SUM(E24:E27)</f>
        <v>427588747.41198182</v>
      </c>
      <c r="F28" s="204">
        <f>SUM(F24:F27)</f>
        <v>440557731.4612602</v>
      </c>
      <c r="G28" s="204">
        <f>SUM(G24:G27)</f>
        <v>206516620.20593214</v>
      </c>
      <c r="H28" s="114"/>
      <c r="I28" s="114"/>
      <c r="J28" s="114"/>
      <c r="K28" s="114"/>
    </row>
    <row r="29" spans="3:23" x14ac:dyDescent="0.3">
      <c r="E29" s="1" t="b">
        <v>1</v>
      </c>
      <c r="F29" s="1" t="b">
        <v>1</v>
      </c>
      <c r="G29" s="365" t="b">
        <v>1</v>
      </c>
      <c r="H29" s="39"/>
      <c r="I29" s="39"/>
      <c r="J29" s="39"/>
      <c r="K29" s="39"/>
    </row>
    <row r="30" spans="3:23" x14ac:dyDescent="0.3">
      <c r="C30" s="1" t="s">
        <v>643</v>
      </c>
      <c r="D30" s="308"/>
      <c r="E30" s="308"/>
      <c r="F30" s="50"/>
      <c r="G30" s="50"/>
      <c r="H30" s="50"/>
      <c r="I30" s="50"/>
      <c r="J30" s="50"/>
      <c r="K30" s="50"/>
    </row>
    <row r="31" spans="3:23" x14ac:dyDescent="0.3">
      <c r="C31" s="403" t="s">
        <v>31</v>
      </c>
      <c r="D31" s="392"/>
      <c r="E31" s="401">
        <v>11137247.865926402</v>
      </c>
      <c r="F31" s="401">
        <v>11450379.147885276</v>
      </c>
      <c r="G31" s="50">
        <v>7425557.3212055424</v>
      </c>
      <c r="H31" s="50"/>
      <c r="I31" s="50"/>
      <c r="J31" s="50"/>
      <c r="K31" s="50"/>
    </row>
    <row r="32" spans="3:23" x14ac:dyDescent="0.3">
      <c r="C32" s="392" t="s">
        <v>32</v>
      </c>
      <c r="D32" s="392"/>
      <c r="E32" s="401">
        <v>6151142.677845709</v>
      </c>
      <c r="F32" s="401">
        <v>6188980.3732316</v>
      </c>
      <c r="G32" s="50">
        <v>2804930.5738652321</v>
      </c>
      <c r="H32" s="50"/>
      <c r="I32" s="50"/>
      <c r="J32" s="50"/>
      <c r="K32" s="50"/>
    </row>
    <row r="33" spans="3:11" x14ac:dyDescent="0.3">
      <c r="C33" s="392" t="s">
        <v>33</v>
      </c>
      <c r="D33" s="392"/>
      <c r="E33" s="401">
        <v>11477167.028922876</v>
      </c>
      <c r="F33" s="401">
        <v>9813780.7467314061</v>
      </c>
      <c r="G33" s="50">
        <v>3503679.4714996833</v>
      </c>
      <c r="H33" s="50"/>
      <c r="I33" s="50"/>
      <c r="J33" s="50"/>
      <c r="K33" s="50"/>
    </row>
    <row r="34" spans="3:11" x14ac:dyDescent="0.3">
      <c r="C34" s="392" t="s">
        <v>34</v>
      </c>
      <c r="D34" s="41"/>
      <c r="E34" s="275">
        <v>2819958.2697707866</v>
      </c>
      <c r="F34" s="275">
        <v>2671538.4813690479</v>
      </c>
      <c r="G34" s="50">
        <v>1358324.2450454298</v>
      </c>
      <c r="H34" s="50"/>
      <c r="I34" s="50"/>
      <c r="J34" s="50"/>
      <c r="K34" s="50"/>
    </row>
    <row r="35" spans="3:11" x14ac:dyDescent="0.3">
      <c r="C35" s="2" t="s">
        <v>146</v>
      </c>
      <c r="D35" s="308"/>
      <c r="E35" s="404">
        <f>SUM(E31:E34)</f>
        <v>31585515.842465773</v>
      </c>
      <c r="F35" s="404">
        <f>SUM(F31:F34)</f>
        <v>30124678.749217331</v>
      </c>
      <c r="G35" s="504">
        <f>SUM(G31:G34)</f>
        <v>15092491.611615887</v>
      </c>
      <c r="H35" s="114"/>
      <c r="I35" s="114"/>
      <c r="J35" s="114"/>
      <c r="K35" s="114"/>
    </row>
    <row r="36" spans="3:11" x14ac:dyDescent="0.3">
      <c r="C36" s="41"/>
      <c r="D36" s="41"/>
      <c r="E36" s="41" t="b">
        <v>1</v>
      </c>
      <c r="F36" s="41" t="b">
        <v>1</v>
      </c>
      <c r="G36" s="41" t="b">
        <v>1</v>
      </c>
      <c r="H36" s="50"/>
      <c r="I36" s="50"/>
      <c r="J36" s="50"/>
      <c r="K36" s="50"/>
    </row>
    <row r="37" spans="3:11" x14ac:dyDescent="0.3">
      <c r="C37" s="1" t="s">
        <v>490</v>
      </c>
      <c r="D37" s="308"/>
      <c r="E37" s="308"/>
      <c r="F37" s="114"/>
      <c r="G37" s="114"/>
      <c r="H37" s="114"/>
      <c r="I37" s="114"/>
      <c r="J37" s="114"/>
      <c r="K37" s="114"/>
    </row>
    <row r="38" spans="3:11" x14ac:dyDescent="0.3">
      <c r="C38" s="403" t="s">
        <v>31</v>
      </c>
      <c r="D38" s="41"/>
      <c r="E38" s="271">
        <f>E31/E$21</f>
        <v>10910560.519982766</v>
      </c>
      <c r="F38" s="425">
        <f>F31/F$21</f>
        <v>11041437.0354608</v>
      </c>
      <c r="G38" s="425">
        <f>G31/G$21</f>
        <v>7019959.6524001965</v>
      </c>
      <c r="H38" s="50"/>
      <c r="I38" s="50"/>
      <c r="J38" s="50"/>
      <c r="K38" s="50"/>
    </row>
    <row r="39" spans="3:11" x14ac:dyDescent="0.3">
      <c r="C39" s="392" t="s">
        <v>32</v>
      </c>
      <c r="D39" s="41"/>
      <c r="E39" s="271">
        <f t="shared" ref="E39:F41" si="7">E32/E$21</f>
        <v>6025942.4286506185</v>
      </c>
      <c r="F39" s="271">
        <f t="shared" si="7"/>
        <v>5967945.3599018995</v>
      </c>
      <c r="G39" s="271">
        <f t="shared" ref="G39" si="8">G32/G$21</f>
        <v>2651720.0803347779</v>
      </c>
      <c r="H39" s="50"/>
      <c r="I39" s="50"/>
      <c r="J39" s="50"/>
      <c r="K39" s="50"/>
    </row>
    <row r="40" spans="3:11" x14ac:dyDescent="0.3">
      <c r="C40" s="392" t="s">
        <v>33</v>
      </c>
      <c r="D40" s="41"/>
      <c r="E40" s="271">
        <f t="shared" si="7"/>
        <v>11243560.974351879</v>
      </c>
      <c r="F40" s="271">
        <f t="shared" si="7"/>
        <v>9463288.5772052836</v>
      </c>
      <c r="G40" s="271">
        <f t="shared" ref="G40" si="9">G33/G$21</f>
        <v>3312302.0213757507</v>
      </c>
      <c r="H40" s="50"/>
      <c r="I40" s="50"/>
      <c r="J40" s="50"/>
      <c r="K40" s="50"/>
    </row>
    <row r="41" spans="3:11" x14ac:dyDescent="0.3">
      <c r="C41" s="392" t="s">
        <v>34</v>
      </c>
      <c r="E41" s="271">
        <f t="shared" si="7"/>
        <v>2762560.8890586379</v>
      </c>
      <c r="F41" s="271">
        <f t="shared" si="7"/>
        <v>2576126.3927487242</v>
      </c>
      <c r="G41" s="271">
        <f t="shared" ref="G41" si="10">G34/G$21</f>
        <v>1284130.0635933683</v>
      </c>
    </row>
    <row r="42" spans="3:11" x14ac:dyDescent="0.3">
      <c r="C42" s="2" t="s">
        <v>146</v>
      </c>
      <c r="E42" s="404">
        <f>SUM(E38:E41)</f>
        <v>30942624.812043902</v>
      </c>
      <c r="F42" s="404">
        <f>SUM(F38:F41)</f>
        <v>29048797.365316708</v>
      </c>
      <c r="G42" s="404">
        <f>SUM(G38:G41)</f>
        <v>14268111.817704095</v>
      </c>
    </row>
    <row r="43" spans="3:11" x14ac:dyDescent="0.3">
      <c r="E43" s="278">
        <f>E42-AusNet_Overheads!H28*Thousands</f>
        <v>0</v>
      </c>
      <c r="F43" s="278">
        <f>F42-AusNet_Overheads!I28*Thousands</f>
        <v>0</v>
      </c>
      <c r="G43" s="278">
        <f>G42-AusNet_Overheads!J28*Thousands</f>
        <v>0</v>
      </c>
    </row>
    <row r="45" spans="3:11" x14ac:dyDescent="0.3">
      <c r="E45" s="159"/>
      <c r="F45" s="159"/>
      <c r="G45" s="159"/>
    </row>
    <row r="46" spans="3:11" x14ac:dyDescent="0.3">
      <c r="E46" s="159"/>
      <c r="F46" s="159"/>
      <c r="G46" s="159"/>
    </row>
    <row r="47" spans="3:11" x14ac:dyDescent="0.3">
      <c r="E47" s="159"/>
      <c r="F47" s="159"/>
      <c r="G47" s="159"/>
    </row>
    <row r="48" spans="3:11" x14ac:dyDescent="0.3">
      <c r="E48" s="159"/>
      <c r="F48" s="159"/>
      <c r="G48" s="159"/>
    </row>
    <row r="50" spans="5:7" x14ac:dyDescent="0.3">
      <c r="E50" s="278"/>
      <c r="F50" s="278"/>
      <c r="G50" s="278"/>
    </row>
    <row r="51" spans="5:7" x14ac:dyDescent="0.3">
      <c r="E51" s="278"/>
      <c r="F51" s="278"/>
      <c r="G51" s="278"/>
    </row>
    <row r="52" spans="5:7" x14ac:dyDescent="0.3">
      <c r="E52" s="278"/>
      <c r="F52" s="278"/>
      <c r="G52" s="278"/>
    </row>
    <row r="53" spans="5:7" x14ac:dyDescent="0.3">
      <c r="E53" s="278"/>
      <c r="F53" s="278"/>
      <c r="G53" s="278"/>
    </row>
  </sheetData>
  <mergeCells count="1">
    <mergeCell ref="E7:K7"/>
  </mergeCells>
  <hyperlinks>
    <hyperlink ref="B2" location="Contents!A1" display="Table of Contents" xr:uid="{00000000-0004-0000-2700-000000000000}"/>
  </hyperlinks>
  <pageMargins left="0.7" right="0.7" top="0.75" bottom="0.75" header="0.3" footer="0.3"/>
  <pageSetup paperSize="9" orientation="portrait" verticalDpi="0" r:id="rId1"/>
  <ignoredErrors>
    <ignoredError sqref="F15:K15" formulaRange="1"/>
  </ignoredErrors>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C1:K23"/>
  <sheetViews>
    <sheetView zoomScale="85" zoomScaleNormal="85" workbookViewId="0">
      <selection activeCell="D6" sqref="D6:J10"/>
    </sheetView>
  </sheetViews>
  <sheetFormatPr defaultColWidth="8.88671875" defaultRowHeight="14.4" x14ac:dyDescent="0.3"/>
  <cols>
    <col min="1" max="1" width="5" style="1" customWidth="1"/>
    <col min="2" max="2" width="4.6640625" style="1" customWidth="1"/>
    <col min="3" max="3" width="37.88671875" style="1" customWidth="1"/>
    <col min="4" max="6" width="12.5546875" style="1" bestFit="1" customWidth="1"/>
    <col min="7" max="7" width="13" style="1" customWidth="1"/>
    <col min="8" max="10" width="12.5546875" style="1" bestFit="1" customWidth="1"/>
    <col min="11" max="11" width="39.33203125" style="1" customWidth="1"/>
    <col min="12" max="16384" width="8.88671875" style="1"/>
  </cols>
  <sheetData>
    <row r="1" spans="3:11" ht="18" x14ac:dyDescent="0.35">
      <c r="C1" s="10" t="s">
        <v>639</v>
      </c>
    </row>
    <row r="2" spans="3:11" x14ac:dyDescent="0.3">
      <c r="C2" s="25" t="s">
        <v>6</v>
      </c>
      <c r="F2" s="101">
        <f>Escalators!$Q$14</f>
        <v>1.0577777777777779</v>
      </c>
      <c r="G2" s="1" t="s">
        <v>585</v>
      </c>
    </row>
    <row r="4" spans="3:11" x14ac:dyDescent="0.3">
      <c r="D4" s="607" t="s">
        <v>641</v>
      </c>
      <c r="E4" s="608"/>
      <c r="F4" s="608"/>
      <c r="G4" s="608"/>
      <c r="H4" s="608"/>
      <c r="I4" s="608"/>
      <c r="J4" s="609"/>
    </row>
    <row r="5" spans="3:11" x14ac:dyDescent="0.3">
      <c r="C5" s="6"/>
      <c r="D5" s="17" t="s">
        <v>626</v>
      </c>
      <c r="E5" s="17" t="s">
        <v>620</v>
      </c>
      <c r="F5" s="17" t="s">
        <v>621</v>
      </c>
      <c r="G5" s="17" t="s">
        <v>622</v>
      </c>
      <c r="H5" s="17" t="s">
        <v>623</v>
      </c>
      <c r="I5" s="17" t="s">
        <v>624</v>
      </c>
      <c r="J5" s="17" t="s">
        <v>625</v>
      </c>
    </row>
    <row r="6" spans="3:11" x14ac:dyDescent="0.3">
      <c r="C6" s="6" t="s">
        <v>31</v>
      </c>
      <c r="D6" s="375">
        <v>10975998.777721783</v>
      </c>
      <c r="E6" s="463">
        <v>12540678.170130596</v>
      </c>
      <c r="F6" s="375">
        <v>15001118.938474879</v>
      </c>
      <c r="G6" s="375">
        <v>15058498.252749922</v>
      </c>
      <c r="H6" s="375">
        <v>15194545.461293733</v>
      </c>
      <c r="I6" s="375">
        <v>14154500.430440601</v>
      </c>
      <c r="J6" s="375">
        <v>13588566.545528717</v>
      </c>
    </row>
    <row r="7" spans="3:11" x14ac:dyDescent="0.3">
      <c r="C7" s="6" t="s">
        <v>32</v>
      </c>
      <c r="D7" s="375">
        <v>5996943.8942762595</v>
      </c>
      <c r="E7" s="463">
        <v>5635692.7602857277</v>
      </c>
      <c r="F7" s="375">
        <v>6274944.2972362014</v>
      </c>
      <c r="G7" s="375">
        <v>6047365.4567479696</v>
      </c>
      <c r="H7" s="375">
        <v>6017651.8325100821</v>
      </c>
      <c r="I7" s="375">
        <v>6264621.4616018301</v>
      </c>
      <c r="J7" s="375">
        <v>6434419.0379748689</v>
      </c>
    </row>
    <row r="8" spans="3:11" x14ac:dyDescent="0.3">
      <c r="C8" s="6" t="s">
        <v>33</v>
      </c>
      <c r="D8" s="375">
        <v>10353424.77577858</v>
      </c>
      <c r="E8" s="463">
        <v>8043946.309978392</v>
      </c>
      <c r="F8" s="375">
        <v>4387757.6991377408</v>
      </c>
      <c r="G8" s="375">
        <v>4122316.9608615609</v>
      </c>
      <c r="H8" s="375">
        <v>4015983.3765556309</v>
      </c>
      <c r="I8" s="375">
        <v>4809058.7783170156</v>
      </c>
      <c r="J8" s="375">
        <v>5205195.0868558632</v>
      </c>
    </row>
    <row r="9" spans="3:11" x14ac:dyDescent="0.3">
      <c r="C9" s="6" t="s">
        <v>34</v>
      </c>
      <c r="D9" s="375">
        <v>2669343.6409036811</v>
      </c>
      <c r="E9" s="463">
        <v>2572193.2599677304</v>
      </c>
      <c r="F9" s="375">
        <v>2538180.0924575757</v>
      </c>
      <c r="G9" s="375">
        <v>2495094.791574012</v>
      </c>
      <c r="H9" s="375">
        <v>2495094.7915740116</v>
      </c>
      <c r="I9" s="375">
        <v>2495094.7915740116</v>
      </c>
      <c r="J9" s="375">
        <v>2495094.7915740111</v>
      </c>
    </row>
    <row r="10" spans="3:11" x14ac:dyDescent="0.3">
      <c r="C10" s="6" t="s">
        <v>640</v>
      </c>
      <c r="D10" s="418">
        <v>2861740.1104416251</v>
      </c>
      <c r="E10" s="418">
        <v>2780542.2482817834</v>
      </c>
      <c r="F10" s="418">
        <v>3144075.5502299359</v>
      </c>
      <c r="G10" s="418">
        <v>2934327.053476057</v>
      </c>
      <c r="H10" s="418">
        <v>2819594.0848284164</v>
      </c>
      <c r="I10" s="418">
        <v>2931952.7248659176</v>
      </c>
      <c r="J10" s="418">
        <v>3006814.6803414589</v>
      </c>
      <c r="K10" s="1" t="s">
        <v>644</v>
      </c>
    </row>
    <row r="11" spans="3:11" x14ac:dyDescent="0.3">
      <c r="C11" s="8" t="s">
        <v>146</v>
      </c>
      <c r="D11" s="376">
        <f>SUM(D6:D9)</f>
        <v>29995711.088680305</v>
      </c>
      <c r="E11" s="376">
        <f t="shared" ref="E11:J11" si="0">SUM(E6:E9)</f>
        <v>28792510.500362445</v>
      </c>
      <c r="F11" s="376">
        <f t="shared" si="0"/>
        <v>28202001.027306393</v>
      </c>
      <c r="G11" s="376">
        <f t="shared" si="0"/>
        <v>27723275.461933464</v>
      </c>
      <c r="H11" s="376">
        <f t="shared" si="0"/>
        <v>27723275.46193346</v>
      </c>
      <c r="I11" s="376">
        <f t="shared" si="0"/>
        <v>27723275.46193346</v>
      </c>
      <c r="J11" s="376">
        <f t="shared" si="0"/>
        <v>27723275.46193346</v>
      </c>
    </row>
    <row r="12" spans="3:11" x14ac:dyDescent="0.3">
      <c r="D12" s="1" t="b">
        <f>ROUND(D11,5)=ROUND(AusNet_Overheads!I34*Thousands,5)</f>
        <v>1</v>
      </c>
      <c r="E12" s="1" t="b">
        <f>ROUND(E11,5)=ROUND(AusNet_Overheads!J34*Thousands,5)</f>
        <v>1</v>
      </c>
      <c r="F12" s="1" t="b">
        <f>ROUND(F11,5)=ROUND(AusNet_Overheads!K34*Thousands,5)</f>
        <v>1</v>
      </c>
      <c r="G12" s="1" t="b">
        <f>ROUND(G11,5)=ROUND(AusNet_Overheads!L34*Thousands,5)</f>
        <v>1</v>
      </c>
      <c r="H12" s="1" t="b">
        <f>ROUND(H11,5)=ROUND(AusNet_Overheads!M34*Thousands,5)</f>
        <v>1</v>
      </c>
      <c r="I12" s="1" t="b">
        <f>ROUND(I11,5)=ROUND(AusNet_Overheads!N34*Thousands,5)</f>
        <v>1</v>
      </c>
      <c r="J12" s="1" t="b">
        <f>ROUND(J11,5)=ROUND(AusNet_Overheads!O34*Thousands,5)</f>
        <v>1</v>
      </c>
    </row>
    <row r="13" spans="3:11" x14ac:dyDescent="0.3">
      <c r="D13" s="85"/>
      <c r="E13" s="85"/>
    </row>
    <row r="15" spans="3:11" x14ac:dyDescent="0.3">
      <c r="D15" s="607" t="s">
        <v>601</v>
      </c>
      <c r="E15" s="608"/>
      <c r="F15" s="608"/>
      <c r="G15" s="608"/>
      <c r="H15" s="608"/>
      <c r="I15" s="608"/>
      <c r="J15" s="609"/>
    </row>
    <row r="16" spans="3:11" x14ac:dyDescent="0.3">
      <c r="C16" s="6"/>
      <c r="D16" s="17" t="s">
        <v>626</v>
      </c>
      <c r="E16" s="17" t="s">
        <v>620</v>
      </c>
      <c r="F16" s="17" t="s">
        <v>621</v>
      </c>
      <c r="G16" s="17" t="s">
        <v>622</v>
      </c>
      <c r="H16" s="17" t="s">
        <v>623</v>
      </c>
      <c r="I16" s="17" t="s">
        <v>624</v>
      </c>
      <c r="J16" s="17" t="s">
        <v>625</v>
      </c>
    </row>
    <row r="17" spans="3:11" x14ac:dyDescent="0.3">
      <c r="C17" s="6" t="s">
        <v>31</v>
      </c>
      <c r="D17" s="375">
        <f t="shared" ref="D17:J21" si="1">D6*$F$2</f>
        <v>11610167.595990155</v>
      </c>
      <c r="E17" s="375">
        <f t="shared" si="1"/>
        <v>13265250.686627032</v>
      </c>
      <c r="F17" s="375">
        <f t="shared" si="1"/>
        <v>15867850.254920095</v>
      </c>
      <c r="G17" s="375">
        <f t="shared" si="1"/>
        <v>15928544.818464365</v>
      </c>
      <c r="H17" s="375">
        <f t="shared" si="1"/>
        <v>16072452.532390706</v>
      </c>
      <c r="I17" s="375">
        <f t="shared" si="1"/>
        <v>14972316.010866061</v>
      </c>
      <c r="J17" s="375">
        <f t="shared" si="1"/>
        <v>14373683.723714823</v>
      </c>
    </row>
    <row r="18" spans="3:11" x14ac:dyDescent="0.3">
      <c r="C18" s="6" t="s">
        <v>32</v>
      </c>
      <c r="D18" s="375">
        <f t="shared" si="1"/>
        <v>6343433.9859455554</v>
      </c>
      <c r="E18" s="375">
        <f t="shared" si="1"/>
        <v>5961310.5642133486</v>
      </c>
      <c r="F18" s="375">
        <f t="shared" si="1"/>
        <v>6637496.6344098495</v>
      </c>
      <c r="G18" s="375">
        <f t="shared" si="1"/>
        <v>6396768.7942489646</v>
      </c>
      <c r="H18" s="375">
        <f t="shared" si="1"/>
        <v>6365338.3828328876</v>
      </c>
      <c r="I18" s="375">
        <f t="shared" si="1"/>
        <v>6626577.3682721592</v>
      </c>
      <c r="J18" s="375">
        <f t="shared" si="1"/>
        <v>6806185.4712800849</v>
      </c>
    </row>
    <row r="19" spans="3:11" x14ac:dyDescent="0.3">
      <c r="C19" s="6" t="s">
        <v>33</v>
      </c>
      <c r="D19" s="375">
        <f t="shared" si="1"/>
        <v>10951622.651712455</v>
      </c>
      <c r="E19" s="375">
        <f t="shared" si="1"/>
        <v>8508707.6523327008</v>
      </c>
      <c r="F19" s="375">
        <f t="shared" si="1"/>
        <v>4641272.5884212554</v>
      </c>
      <c r="G19" s="375">
        <f t="shared" si="1"/>
        <v>4360495.2741557853</v>
      </c>
      <c r="H19" s="375">
        <f t="shared" si="1"/>
        <v>4248017.9716455126</v>
      </c>
      <c r="I19" s="375">
        <f t="shared" si="1"/>
        <v>5086915.5077308882</v>
      </c>
      <c r="J19" s="375">
        <f t="shared" si="1"/>
        <v>5505939.6918742023</v>
      </c>
    </row>
    <row r="20" spans="3:11" x14ac:dyDescent="0.3">
      <c r="C20" s="6" t="s">
        <v>34</v>
      </c>
      <c r="D20" s="375">
        <f t="shared" si="1"/>
        <v>2823572.3846003385</v>
      </c>
      <c r="E20" s="375">
        <f t="shared" si="1"/>
        <v>2720808.8705436443</v>
      </c>
      <c r="F20" s="375">
        <f t="shared" si="1"/>
        <v>2684830.4977995693</v>
      </c>
      <c r="G20" s="375">
        <f t="shared" si="1"/>
        <v>2639255.8239760664</v>
      </c>
      <c r="H20" s="375">
        <f t="shared" si="1"/>
        <v>2639255.823976066</v>
      </c>
      <c r="I20" s="375">
        <f t="shared" si="1"/>
        <v>2639255.823976066</v>
      </c>
      <c r="J20" s="375">
        <f t="shared" si="1"/>
        <v>2639255.8239760655</v>
      </c>
    </row>
    <row r="21" spans="3:11" x14ac:dyDescent="0.3">
      <c r="C21" s="6" t="s">
        <v>640</v>
      </c>
      <c r="D21" s="375">
        <f t="shared" si="1"/>
        <v>3027085.0946004749</v>
      </c>
      <c r="E21" s="375">
        <f t="shared" si="1"/>
        <v>2941195.8004047312</v>
      </c>
      <c r="F21" s="375">
        <f t="shared" si="1"/>
        <v>3325733.2486876659</v>
      </c>
      <c r="G21" s="375">
        <f t="shared" si="1"/>
        <v>3103865.9498991184</v>
      </c>
      <c r="H21" s="375">
        <f t="shared" si="1"/>
        <v>2982503.9652851699</v>
      </c>
      <c r="I21" s="375">
        <f t="shared" si="1"/>
        <v>3101354.4378581708</v>
      </c>
      <c r="J21" s="375">
        <f t="shared" si="1"/>
        <v>3180541.7507611881</v>
      </c>
      <c r="K21" s="1" t="s">
        <v>644</v>
      </c>
    </row>
    <row r="22" spans="3:11" x14ac:dyDescent="0.3">
      <c r="C22" s="8" t="s">
        <v>146</v>
      </c>
      <c r="D22" s="376">
        <f>SUM(D17:D20)</f>
        <v>31728796.618248504</v>
      </c>
      <c r="E22" s="376">
        <f t="shared" ref="E22:J22" si="2">SUM(E17:E20)</f>
        <v>30456077.773716725</v>
      </c>
      <c r="F22" s="376">
        <f t="shared" si="2"/>
        <v>29831449.975550767</v>
      </c>
      <c r="G22" s="376">
        <f t="shared" si="2"/>
        <v>29325064.71084518</v>
      </c>
      <c r="H22" s="376">
        <f t="shared" si="2"/>
        <v>29325064.710845172</v>
      </c>
      <c r="I22" s="376">
        <f t="shared" si="2"/>
        <v>29325064.710845176</v>
      </c>
      <c r="J22" s="376">
        <f t="shared" si="2"/>
        <v>29325064.710845176</v>
      </c>
    </row>
    <row r="23" spans="3:11" x14ac:dyDescent="0.3">
      <c r="D23" s="1" t="b">
        <f t="shared" ref="D23:J23" si="3">D22=D11*$F$2</f>
        <v>1</v>
      </c>
      <c r="E23" s="1" t="b">
        <f t="shared" si="3"/>
        <v>1</v>
      </c>
      <c r="F23" s="1" t="b">
        <f t="shared" si="3"/>
        <v>1</v>
      </c>
      <c r="G23" s="1" t="b">
        <f t="shared" si="3"/>
        <v>1</v>
      </c>
      <c r="H23" s="1" t="b">
        <f t="shared" si="3"/>
        <v>1</v>
      </c>
      <c r="I23" s="1" t="b">
        <f t="shared" si="3"/>
        <v>1</v>
      </c>
      <c r="J23" s="1" t="b">
        <f t="shared" si="3"/>
        <v>1</v>
      </c>
    </row>
  </sheetData>
  <mergeCells count="2">
    <mergeCell ref="D4:J4"/>
    <mergeCell ref="D15:J15"/>
  </mergeCells>
  <hyperlinks>
    <hyperlink ref="C2" location="Contents!A1" display="Table of Contents" xr:uid="{4C045217-582D-4750-93EA-1A936503DFD1}"/>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5"/>
  <dimension ref="A1:V44"/>
  <sheetViews>
    <sheetView zoomScale="70" zoomScaleNormal="70" zoomScalePageLayoutView="125" workbookViewId="0">
      <pane ySplit="8" topLeftCell="A9" activePane="bottomLeft" state="frozen"/>
      <selection pane="bottomLeft" activeCell="F12" sqref="F12"/>
    </sheetView>
  </sheetViews>
  <sheetFormatPr defaultColWidth="8.88671875" defaultRowHeight="14.4" x14ac:dyDescent="0.3"/>
  <cols>
    <col min="1" max="1" width="4.44140625" style="1" customWidth="1"/>
    <col min="2" max="2" width="8.88671875" style="1"/>
    <col min="3" max="3" width="43.44140625" style="1" bestFit="1" customWidth="1"/>
    <col min="4" max="4" width="38.6640625" style="1" bestFit="1" customWidth="1"/>
    <col min="5" max="5" width="16" style="1" customWidth="1"/>
    <col min="6" max="7" width="17.33203125" style="1" customWidth="1"/>
    <col min="8" max="8" width="17" style="1" customWidth="1"/>
    <col min="9" max="9" width="17.44140625" style="1" bestFit="1" customWidth="1"/>
    <col min="10" max="10" width="16.44140625" style="1" customWidth="1"/>
    <col min="11" max="11" width="17.44140625" style="1" bestFit="1" customWidth="1"/>
    <col min="12" max="12" width="16.44140625" style="1" customWidth="1"/>
    <col min="13" max="13" width="19.5546875" style="1" customWidth="1"/>
    <col min="14" max="14" width="2.33203125" style="1" customWidth="1"/>
    <col min="15" max="15" width="1.33203125" style="1" customWidth="1"/>
    <col min="16" max="16" width="31.33203125" style="1" customWidth="1"/>
    <col min="17" max="17" width="14.33203125" style="1" bestFit="1" customWidth="1"/>
    <col min="18" max="22" width="13.109375" style="1" customWidth="1"/>
    <col min="23" max="16384" width="8.88671875" style="1"/>
  </cols>
  <sheetData>
    <row r="1" spans="1:22" ht="18" x14ac:dyDescent="0.35">
      <c r="B1" s="10" t="s">
        <v>40</v>
      </c>
    </row>
    <row r="2" spans="1:22" x14ac:dyDescent="0.3">
      <c r="A2" s="3"/>
      <c r="B2" s="25" t="s">
        <v>6</v>
      </c>
    </row>
    <row r="3" spans="1:22" x14ac:dyDescent="0.3">
      <c r="G3" s="203" t="s">
        <v>354</v>
      </c>
      <c r="I3" s="101">
        <f>Escalators!$Q$14</f>
        <v>1.0577777777777779</v>
      </c>
      <c r="J3" s="1" t="s">
        <v>585</v>
      </c>
    </row>
    <row r="5" spans="1:22" ht="15.6" x14ac:dyDescent="0.3">
      <c r="C5" s="131" t="s">
        <v>325</v>
      </c>
      <c r="D5" s="131"/>
      <c r="E5" s="131"/>
      <c r="F5" s="131"/>
      <c r="G5" s="131"/>
      <c r="H5" s="131"/>
      <c r="I5" s="131"/>
      <c r="J5" s="131"/>
      <c r="K5" s="131"/>
      <c r="L5" s="131"/>
    </row>
    <row r="6" spans="1:22" ht="18" thickBot="1" x14ac:dyDescent="0.35">
      <c r="C6" s="162" t="s">
        <v>618</v>
      </c>
      <c r="D6" s="132"/>
      <c r="E6" s="408"/>
      <c r="F6" s="408"/>
      <c r="G6" s="409"/>
      <c r="H6" s="409"/>
      <c r="I6" s="409"/>
      <c r="J6" s="409"/>
      <c r="K6" s="409"/>
      <c r="L6" s="409"/>
    </row>
    <row r="7" spans="1:22" ht="37.950000000000003" customHeight="1" thickBot="1" x14ac:dyDescent="0.35">
      <c r="C7" s="133"/>
      <c r="D7" s="134"/>
      <c r="E7" s="135"/>
      <c r="F7" s="622" t="s">
        <v>617</v>
      </c>
      <c r="G7" s="623"/>
      <c r="H7" s="623"/>
      <c r="I7" s="623"/>
      <c r="J7" s="623"/>
      <c r="K7" s="623"/>
      <c r="L7" s="624"/>
    </row>
    <row r="8" spans="1:22" ht="67.95" customHeight="1" thickBot="1" x14ac:dyDescent="0.35">
      <c r="C8" s="136" t="s">
        <v>326</v>
      </c>
      <c r="D8" s="136" t="s">
        <v>43</v>
      </c>
      <c r="E8" s="137" t="s">
        <v>327</v>
      </c>
      <c r="F8" s="377" t="s">
        <v>626</v>
      </c>
      <c r="G8" s="378" t="s">
        <v>620</v>
      </c>
      <c r="H8" s="378">
        <f>Yr_1</f>
        <v>44742</v>
      </c>
      <c r="I8" s="378">
        <f>Yr_2</f>
        <v>45107</v>
      </c>
      <c r="J8" s="378">
        <f>Yr_3</f>
        <v>45473</v>
      </c>
      <c r="K8" s="378">
        <f>Yr_4</f>
        <v>45838</v>
      </c>
      <c r="L8" s="379">
        <f>Yr_5</f>
        <v>46203</v>
      </c>
      <c r="N8" s="217"/>
      <c r="O8" s="208"/>
    </row>
    <row r="9" spans="1:22" x14ac:dyDescent="0.3">
      <c r="C9" s="138" t="s">
        <v>328</v>
      </c>
      <c r="D9" s="139" t="s">
        <v>329</v>
      </c>
      <c r="E9" s="140" t="s">
        <v>330</v>
      </c>
      <c r="F9" s="141"/>
      <c r="G9" s="142"/>
      <c r="H9" s="142"/>
      <c r="I9" s="142"/>
      <c r="J9" s="142"/>
      <c r="K9" s="142"/>
      <c r="L9" s="143"/>
    </row>
    <row r="10" spans="1:22" x14ac:dyDescent="0.3">
      <c r="C10" s="144"/>
      <c r="D10" s="145"/>
      <c r="E10" s="146" t="s">
        <v>331</v>
      </c>
      <c r="F10" s="147">
        <v>0</v>
      </c>
      <c r="G10" s="148">
        <v>0</v>
      </c>
      <c r="H10" s="148">
        <v>670016.63602844253</v>
      </c>
      <c r="I10" s="148">
        <v>152323.04094344252</v>
      </c>
      <c r="J10" s="148">
        <v>898565.34386991744</v>
      </c>
      <c r="K10" s="148">
        <v>220545.53761169448</v>
      </c>
      <c r="L10" s="149">
        <v>244029.61841857282</v>
      </c>
      <c r="M10" s="34"/>
    </row>
    <row r="11" spans="1:22" x14ac:dyDescent="0.3">
      <c r="C11" s="144"/>
      <c r="D11" s="150" t="s">
        <v>332</v>
      </c>
      <c r="E11" s="151" t="s">
        <v>330</v>
      </c>
      <c r="F11" s="152"/>
      <c r="G11" s="153"/>
      <c r="H11" s="153"/>
      <c r="I11" s="153"/>
      <c r="J11" s="153"/>
      <c r="K11" s="153"/>
      <c r="L11" s="154"/>
    </row>
    <row r="12" spans="1:22" x14ac:dyDescent="0.3">
      <c r="C12" s="144"/>
      <c r="D12" s="155"/>
      <c r="E12" s="146" t="s">
        <v>331</v>
      </c>
      <c r="F12" s="147">
        <v>24279171.991757546</v>
      </c>
      <c r="G12" s="148">
        <v>10495159.728894679</v>
      </c>
      <c r="H12" s="148">
        <v>16198578.005695714</v>
      </c>
      <c r="I12" s="148">
        <v>10530755.713140659</v>
      </c>
      <c r="J12" s="148">
        <v>15254555.797801113</v>
      </c>
      <c r="K12" s="148">
        <v>7749831.6155621484</v>
      </c>
      <c r="L12" s="149">
        <v>7697085.592127149</v>
      </c>
    </row>
    <row r="13" spans="1:22" x14ac:dyDescent="0.3">
      <c r="C13" s="144"/>
      <c r="D13" s="405" t="s">
        <v>333</v>
      </c>
      <c r="E13" s="151" t="s">
        <v>330</v>
      </c>
      <c r="F13" s="152"/>
      <c r="G13" s="153"/>
      <c r="H13" s="153"/>
      <c r="I13" s="153"/>
      <c r="J13" s="153"/>
      <c r="K13" s="153"/>
      <c r="L13" s="154"/>
    </row>
    <row r="14" spans="1:22" x14ac:dyDescent="0.3">
      <c r="C14" s="156"/>
      <c r="D14" s="155"/>
      <c r="E14" s="146" t="s">
        <v>331</v>
      </c>
      <c r="F14" s="147">
        <v>36857600.737728745</v>
      </c>
      <c r="G14" s="148">
        <v>43342706.530296862</v>
      </c>
      <c r="H14" s="148">
        <v>28567141.757256355</v>
      </c>
      <c r="I14" s="148">
        <v>20993068.485874385</v>
      </c>
      <c r="J14" s="148">
        <v>20092351.885175548</v>
      </c>
      <c r="K14" s="148">
        <v>19566166.973194398</v>
      </c>
      <c r="L14" s="149">
        <v>19012021.665803362</v>
      </c>
      <c r="P14" s="41"/>
      <c r="Q14" s="87"/>
      <c r="R14" s="41"/>
      <c r="S14" s="41"/>
      <c r="T14" s="41"/>
      <c r="U14" s="41"/>
      <c r="V14" s="41"/>
    </row>
    <row r="15" spans="1:22" x14ac:dyDescent="0.3">
      <c r="C15" s="144" t="s">
        <v>235</v>
      </c>
      <c r="D15" s="157" t="s">
        <v>334</v>
      </c>
      <c r="E15" s="151" t="s">
        <v>330</v>
      </c>
      <c r="F15" s="152"/>
      <c r="G15" s="153"/>
      <c r="H15" s="153"/>
      <c r="I15" s="153"/>
      <c r="J15" s="153"/>
      <c r="K15" s="153"/>
      <c r="L15" s="154"/>
      <c r="N15" s="216"/>
      <c r="P15" s="41"/>
      <c r="Q15" s="87"/>
      <c r="R15" s="41"/>
      <c r="S15" s="41"/>
      <c r="T15" s="41"/>
      <c r="U15" s="41"/>
      <c r="V15" s="41"/>
    </row>
    <row r="16" spans="1:22" x14ac:dyDescent="0.3">
      <c r="C16" s="144"/>
      <c r="D16" s="155"/>
      <c r="E16" s="146" t="s">
        <v>331</v>
      </c>
      <c r="F16" s="147">
        <v>804734.72066120047</v>
      </c>
      <c r="G16" s="148">
        <v>1039496.5145140061</v>
      </c>
      <c r="H16" s="148">
        <v>1688171.4181812874</v>
      </c>
      <c r="I16" s="148">
        <v>1791467.7878379286</v>
      </c>
      <c r="J16" s="148">
        <v>2161262.5904644052</v>
      </c>
      <c r="K16" s="148">
        <v>2761993.8317558179</v>
      </c>
      <c r="L16" s="149">
        <v>2999889.0871549714</v>
      </c>
      <c r="N16" s="218"/>
      <c r="O16" s="85"/>
      <c r="P16" s="41"/>
      <c r="Q16" s="275"/>
      <c r="R16" s="275"/>
      <c r="S16" s="275"/>
      <c r="T16" s="275"/>
      <c r="U16" s="275"/>
      <c r="V16" s="275"/>
    </row>
    <row r="17" spans="3:22" x14ac:dyDescent="0.3">
      <c r="C17" s="144"/>
      <c r="D17" s="150" t="s">
        <v>335</v>
      </c>
      <c r="E17" s="151" t="s">
        <v>330</v>
      </c>
      <c r="F17" s="152"/>
      <c r="G17" s="153"/>
      <c r="H17" s="153"/>
      <c r="I17" s="153"/>
      <c r="J17" s="153"/>
      <c r="K17" s="153"/>
      <c r="L17" s="154"/>
      <c r="N17" s="218"/>
      <c r="O17" s="85"/>
      <c r="P17" s="41"/>
      <c r="Q17" s="275"/>
      <c r="R17" s="275"/>
      <c r="S17" s="275"/>
      <c r="T17" s="275"/>
      <c r="U17" s="275"/>
      <c r="V17" s="275"/>
    </row>
    <row r="18" spans="3:22" x14ac:dyDescent="0.3">
      <c r="C18" s="144"/>
      <c r="D18" s="155"/>
      <c r="E18" s="146" t="s">
        <v>331</v>
      </c>
      <c r="F18" s="147">
        <v>677056.8370242439</v>
      </c>
      <c r="G18" s="148">
        <v>874571.71182611806</v>
      </c>
      <c r="H18" s="148">
        <v>918638.75053506996</v>
      </c>
      <c r="I18" s="148">
        <v>641474.37821133947</v>
      </c>
      <c r="J18" s="148">
        <v>799121.22307672573</v>
      </c>
      <c r="K18" s="148">
        <v>1554965.8607360395</v>
      </c>
      <c r="L18" s="149">
        <v>2045018.5100070809</v>
      </c>
      <c r="N18" s="218"/>
      <c r="O18" s="85"/>
      <c r="P18" s="41"/>
      <c r="Q18" s="275"/>
      <c r="R18" s="275"/>
      <c r="S18" s="275"/>
      <c r="T18" s="275"/>
      <c r="U18" s="275"/>
      <c r="V18" s="275"/>
    </row>
    <row r="19" spans="3:22" x14ac:dyDescent="0.3">
      <c r="C19" s="144"/>
      <c r="D19" s="150" t="s">
        <v>336</v>
      </c>
      <c r="E19" s="151" t="s">
        <v>330</v>
      </c>
      <c r="F19" s="152"/>
      <c r="G19" s="153"/>
      <c r="H19" s="153"/>
      <c r="I19" s="153"/>
      <c r="J19" s="153"/>
      <c r="K19" s="153"/>
      <c r="L19" s="154"/>
      <c r="N19" s="218"/>
      <c r="O19" s="85"/>
      <c r="P19" s="41"/>
      <c r="Q19" s="275"/>
      <c r="R19" s="275"/>
      <c r="S19" s="275"/>
      <c r="T19" s="275"/>
      <c r="U19" s="275"/>
      <c r="V19" s="275"/>
    </row>
    <row r="20" spans="3:22" x14ac:dyDescent="0.3">
      <c r="C20" s="144"/>
      <c r="D20" s="155"/>
      <c r="E20" s="146" t="s">
        <v>331</v>
      </c>
      <c r="F20" s="147">
        <v>0</v>
      </c>
      <c r="G20" s="148">
        <v>0</v>
      </c>
      <c r="H20" s="148">
        <v>0</v>
      </c>
      <c r="I20" s="148">
        <v>0</v>
      </c>
      <c r="J20" s="148">
        <v>0</v>
      </c>
      <c r="K20" s="148">
        <v>0</v>
      </c>
      <c r="L20" s="149">
        <v>0</v>
      </c>
      <c r="N20" s="218"/>
      <c r="O20" s="85"/>
      <c r="P20" s="41"/>
      <c r="Q20" s="275"/>
      <c r="R20" s="275"/>
      <c r="S20" s="275"/>
      <c r="T20" s="275"/>
      <c r="U20" s="275"/>
      <c r="V20" s="275"/>
    </row>
    <row r="21" spans="3:22" x14ac:dyDescent="0.3">
      <c r="C21" s="144"/>
      <c r="D21" s="150" t="s">
        <v>337</v>
      </c>
      <c r="E21" s="151" t="s">
        <v>330</v>
      </c>
      <c r="F21" s="152"/>
      <c r="G21" s="153"/>
      <c r="H21" s="153"/>
      <c r="I21" s="153"/>
      <c r="J21" s="153"/>
      <c r="K21" s="153"/>
      <c r="L21" s="154"/>
      <c r="N21" s="218"/>
      <c r="O21" s="85"/>
      <c r="P21" s="41"/>
      <c r="Q21" s="275"/>
      <c r="R21" s="275"/>
      <c r="S21" s="275"/>
      <c r="T21" s="275"/>
      <c r="U21" s="275"/>
      <c r="V21" s="275"/>
    </row>
    <row r="22" spans="3:22" x14ac:dyDescent="0.3">
      <c r="C22" s="144"/>
      <c r="D22" s="155"/>
      <c r="E22" s="146" t="s">
        <v>331</v>
      </c>
      <c r="F22" s="147">
        <v>141219.21371453573</v>
      </c>
      <c r="G22" s="148">
        <v>182416.48666290249</v>
      </c>
      <c r="H22" s="148">
        <v>0</v>
      </c>
      <c r="I22" s="148">
        <v>0</v>
      </c>
      <c r="J22" s="148">
        <v>254549.82018766738</v>
      </c>
      <c r="K22" s="148">
        <v>411464.15804039757</v>
      </c>
      <c r="L22" s="149">
        <v>313830.16381820064</v>
      </c>
      <c r="N22" s="218"/>
      <c r="O22" s="85"/>
      <c r="P22" s="1" t="s">
        <v>740</v>
      </c>
      <c r="Q22" s="413" t="s">
        <v>620</v>
      </c>
      <c r="R22" s="413" t="s">
        <v>621</v>
      </c>
      <c r="S22" s="413" t="s">
        <v>622</v>
      </c>
      <c r="T22" s="413" t="s">
        <v>623</v>
      </c>
      <c r="U22" s="413" t="s">
        <v>624</v>
      </c>
      <c r="V22" s="413" t="s">
        <v>625</v>
      </c>
    </row>
    <row r="23" spans="3:22" x14ac:dyDescent="0.3">
      <c r="C23" s="144"/>
      <c r="D23" s="150" t="s">
        <v>338</v>
      </c>
      <c r="E23" s="151" t="s">
        <v>330</v>
      </c>
      <c r="F23" s="152"/>
      <c r="G23" s="153"/>
      <c r="H23" s="153"/>
      <c r="I23" s="153"/>
      <c r="J23" s="153"/>
      <c r="K23" s="153"/>
      <c r="L23" s="154"/>
      <c r="N23" s="218"/>
      <c r="O23" s="85"/>
      <c r="P23" s="1" t="s">
        <v>334</v>
      </c>
      <c r="Q23" s="108">
        <v>0.46737485802767526</v>
      </c>
      <c r="R23" s="108">
        <v>0.60553333683309463</v>
      </c>
      <c r="S23" s="108">
        <v>0.67743200959886629</v>
      </c>
      <c r="T23" s="108">
        <v>0.62835906265232944</v>
      </c>
      <c r="U23" s="108">
        <v>0.55601997069735098</v>
      </c>
      <c r="V23" s="108">
        <v>0.53076523887886584</v>
      </c>
    </row>
    <row r="24" spans="3:22" x14ac:dyDescent="0.3">
      <c r="C24" s="156"/>
      <c r="D24" s="155"/>
      <c r="E24" s="146" t="s">
        <v>331</v>
      </c>
      <c r="F24" s="147">
        <v>98807.822045944456</v>
      </c>
      <c r="G24" s="148">
        <v>127632.60237993546</v>
      </c>
      <c r="H24" s="148">
        <v>181098.13540828307</v>
      </c>
      <c r="I24" s="148">
        <v>211556.11931921635</v>
      </c>
      <c r="J24" s="148">
        <v>224600.73272344487</v>
      </c>
      <c r="K24" s="148">
        <v>239012.53181885241</v>
      </c>
      <c r="L24" s="149">
        <v>293269.69431510539</v>
      </c>
      <c r="N24" s="218"/>
      <c r="O24" s="85"/>
      <c r="P24" s="1" t="s">
        <v>335</v>
      </c>
      <c r="Q24" s="108">
        <v>0.39322193383289628</v>
      </c>
      <c r="R24" s="108">
        <v>0.32950823711668242</v>
      </c>
      <c r="S24" s="108">
        <v>0.2425694059854368</v>
      </c>
      <c r="T24" s="108">
        <v>0.23233412954701502</v>
      </c>
      <c r="U24" s="108">
        <v>0.31303186212121514</v>
      </c>
      <c r="V24" s="108">
        <v>0.36182162288039904</v>
      </c>
    </row>
    <row r="25" spans="3:22" x14ac:dyDescent="0.3">
      <c r="C25" s="144" t="s">
        <v>236</v>
      </c>
      <c r="D25" s="157" t="s">
        <v>339</v>
      </c>
      <c r="E25" s="151" t="s">
        <v>330</v>
      </c>
      <c r="F25" s="152"/>
      <c r="G25" s="153"/>
      <c r="H25" s="153"/>
      <c r="I25" s="153"/>
      <c r="J25" s="153"/>
      <c r="K25" s="153"/>
      <c r="L25" s="154"/>
      <c r="N25" s="93"/>
      <c r="O25" s="85"/>
      <c r="P25" s="85" t="s">
        <v>336</v>
      </c>
      <c r="Q25" s="108">
        <v>0</v>
      </c>
      <c r="R25" s="108">
        <v>0</v>
      </c>
      <c r="S25" s="108">
        <v>0</v>
      </c>
      <c r="T25" s="108">
        <v>0</v>
      </c>
      <c r="U25" s="108">
        <v>0</v>
      </c>
      <c r="V25" s="108">
        <v>0</v>
      </c>
    </row>
    <row r="26" spans="3:22" x14ac:dyDescent="0.3">
      <c r="C26" s="156"/>
      <c r="D26" s="155"/>
      <c r="E26" s="146" t="s">
        <v>331</v>
      </c>
      <c r="F26" s="147">
        <v>18571114.13782401</v>
      </c>
      <c r="G26" s="148">
        <v>2327558.4328926932</v>
      </c>
      <c r="H26" s="148">
        <v>4766583.0498622246</v>
      </c>
      <c r="I26" s="148">
        <v>2188507.4005018608</v>
      </c>
      <c r="J26" s="148">
        <v>892170.99185464915</v>
      </c>
      <c r="K26" s="148">
        <v>2625977.2932714764</v>
      </c>
      <c r="L26" s="149">
        <v>9479194.6064198725</v>
      </c>
      <c r="N26" s="93"/>
      <c r="O26" s="85"/>
      <c r="P26" s="85" t="s">
        <v>337</v>
      </c>
      <c r="Q26" s="108">
        <v>8.201747515800123E-2</v>
      </c>
      <c r="R26" s="108">
        <v>0</v>
      </c>
      <c r="S26" s="108">
        <v>0</v>
      </c>
      <c r="T26" s="108">
        <v>7.4007058243243093E-2</v>
      </c>
      <c r="U26" s="108">
        <v>8.2832295447667112E-2</v>
      </c>
      <c r="V26" s="108">
        <v>5.5525433450052085E-2</v>
      </c>
    </row>
    <row r="27" spans="3:22" x14ac:dyDescent="0.3">
      <c r="C27" s="144" t="s">
        <v>234</v>
      </c>
      <c r="D27" s="407" t="s">
        <v>340</v>
      </c>
      <c r="E27" s="151" t="s">
        <v>330</v>
      </c>
      <c r="F27" s="152"/>
      <c r="G27" s="153"/>
      <c r="H27" s="153"/>
      <c r="I27" s="153"/>
      <c r="J27" s="153"/>
      <c r="K27" s="153"/>
      <c r="L27" s="154"/>
      <c r="N27" s="93"/>
      <c r="O27" s="85"/>
      <c r="P27" s="85" t="s">
        <v>338</v>
      </c>
      <c r="Q27" s="108">
        <v>5.738573298142724E-2</v>
      </c>
      <c r="R27" s="108">
        <v>6.4958426050223006E-2</v>
      </c>
      <c r="S27" s="108">
        <v>7.9998584415696877E-2</v>
      </c>
      <c r="T27" s="108">
        <v>6.5299749557412481E-2</v>
      </c>
      <c r="U27" s="108">
        <v>4.8115871733766795E-2</v>
      </c>
      <c r="V27" s="108">
        <v>5.1887704790683074E-2</v>
      </c>
    </row>
    <row r="28" spans="3:22" x14ac:dyDescent="0.3">
      <c r="C28" s="156"/>
      <c r="D28" s="155"/>
      <c r="E28" s="146" t="s">
        <v>331</v>
      </c>
      <c r="F28" s="147">
        <v>0</v>
      </c>
      <c r="G28" s="148">
        <v>0</v>
      </c>
      <c r="H28" s="148">
        <v>1277847.1304252069</v>
      </c>
      <c r="I28" s="148">
        <v>1280934.4849754327</v>
      </c>
      <c r="J28" s="148">
        <v>1284206.6451347689</v>
      </c>
      <c r="K28" s="148">
        <v>1287111.9296042204</v>
      </c>
      <c r="L28" s="149">
        <v>1289841.4413576575</v>
      </c>
      <c r="N28" s="93"/>
      <c r="O28" s="85"/>
      <c r="P28" s="85"/>
    </row>
    <row r="29" spans="3:22" x14ac:dyDescent="0.3">
      <c r="C29" s="212" t="s">
        <v>358</v>
      </c>
      <c r="D29" s="213" t="s">
        <v>361</v>
      </c>
      <c r="E29" s="151" t="s">
        <v>330</v>
      </c>
      <c r="F29" s="152"/>
      <c r="G29" s="153"/>
      <c r="H29" s="153"/>
      <c r="I29" s="153"/>
      <c r="J29" s="153"/>
      <c r="K29" s="153"/>
      <c r="L29" s="154"/>
      <c r="N29" s="93"/>
      <c r="O29" s="85"/>
      <c r="P29" s="85"/>
    </row>
    <row r="30" spans="3:22" x14ac:dyDescent="0.3">
      <c r="C30" s="212"/>
      <c r="D30" s="214"/>
      <c r="E30" s="146" t="s">
        <v>331</v>
      </c>
      <c r="F30" s="147">
        <v>1685092.4385715781</v>
      </c>
      <c r="G30" s="148">
        <v>1634660.719044741</v>
      </c>
      <c r="H30" s="148">
        <v>1585908.8262617646</v>
      </c>
      <c r="I30" s="148">
        <v>1589740.4761629333</v>
      </c>
      <c r="J30" s="148">
        <v>1593801.4843649913</v>
      </c>
      <c r="K30" s="148">
        <v>1597407.1709711596</v>
      </c>
      <c r="L30" s="149">
        <v>1600794.7098074527</v>
      </c>
      <c r="N30" s="93"/>
      <c r="O30" s="85"/>
      <c r="P30" s="85"/>
    </row>
    <row r="31" spans="3:22" x14ac:dyDescent="0.3">
      <c r="C31" s="212"/>
      <c r="D31" s="213" t="s">
        <v>649</v>
      </c>
      <c r="E31" s="151" t="s">
        <v>330</v>
      </c>
      <c r="F31" s="152"/>
      <c r="G31" s="153"/>
      <c r="H31" s="153"/>
      <c r="I31" s="153"/>
      <c r="J31" s="153"/>
      <c r="K31" s="153"/>
      <c r="L31" s="154"/>
      <c r="N31" s="93"/>
      <c r="O31" s="85"/>
      <c r="P31" s="85"/>
    </row>
    <row r="32" spans="3:22" x14ac:dyDescent="0.3">
      <c r="C32" s="212"/>
      <c r="D32" s="214"/>
      <c r="E32" s="146" t="s">
        <v>331</v>
      </c>
      <c r="F32" s="147">
        <v>863013.55258521601</v>
      </c>
      <c r="G32" s="148">
        <v>869063.9218123079</v>
      </c>
      <c r="H32" s="148">
        <v>34640.556735496219</v>
      </c>
      <c r="I32" s="148">
        <v>366110.15044618322</v>
      </c>
      <c r="J32" s="148">
        <v>637591.26607844396</v>
      </c>
      <c r="K32" s="148">
        <v>926090.55231018353</v>
      </c>
      <c r="L32" s="149">
        <v>1004834.0973034032</v>
      </c>
      <c r="N32" s="93"/>
      <c r="O32" s="85"/>
      <c r="P32" s="85"/>
    </row>
    <row r="33" spans="3:15" x14ac:dyDescent="0.3">
      <c r="C33" s="212"/>
      <c r="D33" s="213" t="s">
        <v>650</v>
      </c>
      <c r="E33" s="151" t="s">
        <v>330</v>
      </c>
      <c r="F33" s="152"/>
      <c r="G33" s="153"/>
      <c r="H33" s="153"/>
      <c r="I33" s="153"/>
      <c r="J33" s="153"/>
      <c r="K33" s="153"/>
      <c r="L33" s="154"/>
      <c r="N33" s="93"/>
      <c r="O33" s="85"/>
    </row>
    <row r="34" spans="3:15" x14ac:dyDescent="0.3">
      <c r="C34" s="212"/>
      <c r="D34" s="214"/>
      <c r="E34" s="146" t="s">
        <v>331</v>
      </c>
      <c r="F34" s="147">
        <v>391694.71780683642</v>
      </c>
      <c r="G34" s="148">
        <v>112200</v>
      </c>
      <c r="H34" s="148"/>
      <c r="I34" s="148"/>
      <c r="J34" s="148"/>
      <c r="K34" s="148"/>
      <c r="L34" s="149"/>
      <c r="N34" s="93"/>
      <c r="O34" s="85"/>
    </row>
    <row r="35" spans="3:15" x14ac:dyDescent="0.3">
      <c r="C35" s="209"/>
      <c r="D35" s="210"/>
      <c r="E35" s="211"/>
      <c r="F35" s="211"/>
      <c r="G35" s="215"/>
      <c r="H35" s="215"/>
      <c r="I35" s="215"/>
      <c r="J35" s="215"/>
      <c r="K35" s="215"/>
      <c r="L35" s="215"/>
      <c r="N35" s="93"/>
      <c r="O35" s="85"/>
    </row>
    <row r="36" spans="3:15" x14ac:dyDescent="0.3">
      <c r="M36" s="449" t="str">
        <f>NReg_Period</f>
        <v>2022-26</v>
      </c>
      <c r="N36" s="207"/>
    </row>
    <row r="37" spans="3:15" ht="8.25" customHeight="1" x14ac:dyDescent="0.3">
      <c r="G37" s="159"/>
      <c r="H37" s="159"/>
      <c r="I37" s="159"/>
      <c r="J37" s="159"/>
      <c r="K37" s="159"/>
      <c r="L37" s="159"/>
      <c r="M37" s="449"/>
      <c r="N37" s="216"/>
    </row>
    <row r="38" spans="3:15" x14ac:dyDescent="0.3">
      <c r="E38" s="444" t="s">
        <v>619</v>
      </c>
      <c r="F38" s="445">
        <f>SUMIFS(F$9:F$34,$E$9:$E$34,"Capex ")</f>
        <v>84369506.16971983</v>
      </c>
      <c r="G38" s="445">
        <f t="shared" ref="G38:L38" si="0">SUMIFS(G$9:G$34,$E$9:$E$34,"Capex ")</f>
        <v>61005466.648324244</v>
      </c>
      <c r="H38" s="445">
        <f t="shared" si="0"/>
        <v>55888624.266389839</v>
      </c>
      <c r="I38" s="445">
        <f t="shared" si="0"/>
        <v>39745938.037413388</v>
      </c>
      <c r="J38" s="445">
        <f t="shared" si="0"/>
        <v>44092777.780731678</v>
      </c>
      <c r="K38" s="445">
        <f t="shared" si="0"/>
        <v>38940567.454876386</v>
      </c>
      <c r="L38" s="445">
        <f t="shared" si="0"/>
        <v>45979809.186532825</v>
      </c>
      <c r="M38" s="450">
        <f>SUM(H38:L38)</f>
        <v>224647716.72594413</v>
      </c>
      <c r="N38" s="204"/>
    </row>
    <row r="39" spans="3:15" ht="9" customHeight="1" x14ac:dyDescent="0.3">
      <c r="E39" s="446"/>
      <c r="F39" s="446"/>
      <c r="G39" s="446"/>
      <c r="H39" s="446"/>
      <c r="I39" s="446"/>
      <c r="J39" s="446"/>
      <c r="K39" s="446"/>
      <c r="L39" s="446"/>
      <c r="M39" s="446"/>
    </row>
    <row r="40" spans="3:15" x14ac:dyDescent="0.3">
      <c r="E40" s="444" t="s">
        <v>357</v>
      </c>
      <c r="F40" s="447">
        <f>'2.1 Exp Summary'!E12</f>
        <v>84369506.16971983</v>
      </c>
      <c r="G40" s="447">
        <f>'2.1 Exp Summary'!F12</f>
        <v>61005466.648324244</v>
      </c>
      <c r="H40" s="447">
        <f>'2.1 Exp Summary'!G12</f>
        <v>55888624.266389839</v>
      </c>
      <c r="I40" s="447">
        <f>'2.1 Exp Summary'!H12</f>
        <v>39745938.037413381</v>
      </c>
      <c r="J40" s="447">
        <f>'2.1 Exp Summary'!I12</f>
        <v>44092777.780731678</v>
      </c>
      <c r="K40" s="447">
        <f>'2.1 Exp Summary'!J12</f>
        <v>38940567.454876393</v>
      </c>
      <c r="L40" s="447">
        <f>'2.1 Exp Summary'!K12</f>
        <v>45979809.186532825</v>
      </c>
      <c r="M40" s="448">
        <f t="shared" ref="M40:M41" si="1">SUM(H40:L40)</f>
        <v>224647716.7259441</v>
      </c>
      <c r="N40" s="159"/>
    </row>
    <row r="41" spans="3:15" x14ac:dyDescent="0.3">
      <c r="E41" s="444" t="s">
        <v>133</v>
      </c>
      <c r="F41" s="503">
        <f>F40-F38</f>
        <v>0</v>
      </c>
      <c r="G41" s="503">
        <f>G40-G38</f>
        <v>0</v>
      </c>
      <c r="H41" s="447">
        <f t="shared" ref="H41:L41" si="2">H40-H38</f>
        <v>0</v>
      </c>
      <c r="I41" s="447">
        <f t="shared" si="2"/>
        <v>0</v>
      </c>
      <c r="J41" s="447">
        <f t="shared" si="2"/>
        <v>0</v>
      </c>
      <c r="K41" s="447">
        <f t="shared" si="2"/>
        <v>0</v>
      </c>
      <c r="L41" s="447">
        <f t="shared" si="2"/>
        <v>0</v>
      </c>
      <c r="M41" s="448">
        <f t="shared" si="1"/>
        <v>0</v>
      </c>
      <c r="N41" s="159"/>
    </row>
    <row r="42" spans="3:15" x14ac:dyDescent="0.3">
      <c r="E42" s="446"/>
      <c r="F42" s="446"/>
      <c r="G42" s="446"/>
      <c r="H42" s="446"/>
      <c r="I42" s="446"/>
      <c r="J42" s="446"/>
      <c r="K42" s="446"/>
      <c r="L42" s="446"/>
    </row>
    <row r="43" spans="3:15" x14ac:dyDescent="0.3">
      <c r="E43" s="444" t="s">
        <v>363</v>
      </c>
      <c r="F43" s="448">
        <f t="shared" ref="F43:L43" si="3">F16+F18+F20+F22+F24</f>
        <v>1721818.5934459246</v>
      </c>
      <c r="G43" s="448">
        <f t="shared" si="3"/>
        <v>2224117.3153829621</v>
      </c>
      <c r="H43" s="448">
        <f t="shared" si="3"/>
        <v>2787908.3041246403</v>
      </c>
      <c r="I43" s="448">
        <f t="shared" si="3"/>
        <v>2644498.2853684844</v>
      </c>
      <c r="J43" s="448">
        <f t="shared" si="3"/>
        <v>3439534.3664522432</v>
      </c>
      <c r="K43" s="448">
        <f t="shared" si="3"/>
        <v>4967436.3823511079</v>
      </c>
      <c r="L43" s="448">
        <f t="shared" si="3"/>
        <v>5652007.4552953588</v>
      </c>
      <c r="M43" s="159"/>
      <c r="N43" s="159"/>
    </row>
    <row r="44" spans="3:15" x14ac:dyDescent="0.3">
      <c r="E44" s="79"/>
      <c r="F44" s="79"/>
      <c r="G44" s="158"/>
      <c r="H44" s="158"/>
      <c r="I44" s="158"/>
      <c r="J44" s="158"/>
      <c r="K44" s="158"/>
      <c r="L44" s="158"/>
      <c r="M44" s="159"/>
      <c r="N44" s="159"/>
    </row>
  </sheetData>
  <mergeCells count="1">
    <mergeCell ref="F7:L7"/>
  </mergeCells>
  <dataValidations xWindow="141" yWindow="290" count="1">
    <dataValidation type="custom" operator="greaterThanOrEqual" allowBlank="1" showInputMessage="1" showErrorMessage="1" errorTitle="Expenditure" error="Must be $ value" promptTitle="Expenditure" prompt="Enter value in $0's" sqref="H9:L35 G9:G33 G35" xr:uid="{00000000-0002-0000-2900-000000000000}">
      <formula1>ISNUMBER(G9)</formula1>
    </dataValidation>
  </dataValidations>
  <hyperlinks>
    <hyperlink ref="B2" location="Contents!A1" display="Table of Contents" xr:uid="{00000000-0004-0000-2900-000000000000}"/>
  </hyperlinks>
  <pageMargins left="0.7" right="0.7" top="0.75" bottom="0.75" header="0.3" footer="0.3"/>
  <pageSetup paperSize="9" orientation="portrait" verticalDpi="0" r:id="rId1"/>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C1:K22"/>
  <sheetViews>
    <sheetView zoomScale="85" zoomScaleNormal="85" workbookViewId="0">
      <selection activeCell="H19" sqref="H19"/>
    </sheetView>
  </sheetViews>
  <sheetFormatPr defaultColWidth="8.88671875" defaultRowHeight="14.4" x14ac:dyDescent="0.3"/>
  <cols>
    <col min="1" max="1" width="4.44140625" style="1" customWidth="1"/>
    <col min="2" max="2" width="2.5546875" style="1" customWidth="1"/>
    <col min="3" max="3" width="48.109375" style="1" bestFit="1" customWidth="1"/>
    <col min="4" max="10" width="13" style="1" customWidth="1"/>
    <col min="11" max="11" width="27.6640625" style="1" customWidth="1"/>
    <col min="12" max="16384" width="8.88671875" style="1"/>
  </cols>
  <sheetData>
    <row r="1" spans="3:11" ht="18" x14ac:dyDescent="0.35">
      <c r="C1" s="10" t="s">
        <v>638</v>
      </c>
    </row>
    <row r="2" spans="3:11" x14ac:dyDescent="0.3">
      <c r="C2" s="25" t="s">
        <v>6</v>
      </c>
      <c r="D2" s="101">
        <f>Escalators!$M$17</f>
        <v>1.0577777777777777</v>
      </c>
      <c r="E2" s="1" t="s">
        <v>585</v>
      </c>
    </row>
    <row r="4" spans="3:11" x14ac:dyDescent="0.3">
      <c r="E4" s="413"/>
    </row>
    <row r="5" spans="3:11" x14ac:dyDescent="0.3">
      <c r="C5" s="8" t="s">
        <v>558</v>
      </c>
      <c r="D5" s="17" t="s">
        <v>626</v>
      </c>
      <c r="E5" s="17" t="s">
        <v>620</v>
      </c>
      <c r="F5" s="17" t="s">
        <v>621</v>
      </c>
      <c r="G5" s="17" t="s">
        <v>622</v>
      </c>
      <c r="H5" s="17" t="s">
        <v>623</v>
      </c>
      <c r="I5" s="17" t="s">
        <v>624</v>
      </c>
      <c r="J5" s="17" t="s">
        <v>625</v>
      </c>
    </row>
    <row r="6" spans="3:11" x14ac:dyDescent="0.3">
      <c r="C6" s="6" t="s">
        <v>631</v>
      </c>
      <c r="D6" s="375">
        <v>50817419.482761256</v>
      </c>
      <c r="E6" s="375">
        <v>48535454.719467454</v>
      </c>
      <c r="F6" s="375">
        <v>38899574.326979347</v>
      </c>
      <c r="G6" s="375">
        <v>34839286.396412596</v>
      </c>
      <c r="H6" s="375">
        <v>34175658.226288944</v>
      </c>
      <c r="I6" s="375">
        <v>32224272.739143837</v>
      </c>
      <c r="J6" s="375">
        <v>31877230.590279654</v>
      </c>
    </row>
    <row r="7" spans="3:11" x14ac:dyDescent="0.3">
      <c r="C7" s="6" t="s">
        <v>632</v>
      </c>
      <c r="D7" s="375"/>
      <c r="E7" s="375"/>
      <c r="F7" s="375"/>
      <c r="G7" s="375"/>
      <c r="H7" s="375"/>
      <c r="I7" s="375"/>
      <c r="J7" s="375"/>
      <c r="K7" s="34"/>
    </row>
    <row r="8" spans="3:11" x14ac:dyDescent="0.3">
      <c r="C8" s="6" t="s">
        <v>633</v>
      </c>
      <c r="D8" s="375"/>
      <c r="E8" s="375"/>
      <c r="F8" s="375"/>
      <c r="G8" s="375"/>
      <c r="H8" s="375"/>
      <c r="I8" s="375"/>
      <c r="J8" s="375"/>
    </row>
    <row r="9" spans="3:11" x14ac:dyDescent="0.3">
      <c r="C9" s="6" t="s">
        <v>634</v>
      </c>
      <c r="D9" s="375">
        <f>'2.1 Exp Summary'!E18/$D$2-D6</f>
        <v>336309896.6052618</v>
      </c>
      <c r="E9" s="375">
        <f>'2.1 Exp Summary'!F18/$D$2-E6</f>
        <v>321282434.64480066</v>
      </c>
      <c r="F9" s="375">
        <f>'2.1 Exp Summary'!G18/$D$2-F6</f>
        <v>256318645.06267214</v>
      </c>
      <c r="G9" s="375">
        <f>'2.1 Exp Summary'!H18/$D$2-G6</f>
        <v>245182239.41620678</v>
      </c>
      <c r="H9" s="375">
        <f>'2.1 Exp Summary'!I18/$D$2-H6</f>
        <v>245687360.62817779</v>
      </c>
      <c r="I9" s="375">
        <f>'2.1 Exp Summary'!J18/$D$2-I6</f>
        <v>233379259.43098184</v>
      </c>
      <c r="J9" s="375">
        <f>'2.1 Exp Summary'!K18/$D$2-J6</f>
        <v>235166922.23358619</v>
      </c>
    </row>
    <row r="10" spans="3:11" x14ac:dyDescent="0.3">
      <c r="C10" s="6" t="s">
        <v>635</v>
      </c>
      <c r="D10" s="375"/>
      <c r="E10" s="375"/>
      <c r="F10" s="375"/>
      <c r="G10" s="375"/>
      <c r="H10" s="375"/>
      <c r="I10" s="375"/>
      <c r="J10" s="375"/>
    </row>
    <row r="11" spans="3:11" x14ac:dyDescent="0.3">
      <c r="C11" s="419" t="s">
        <v>636</v>
      </c>
      <c r="D11" s="376">
        <f>SUM(D6:D10)</f>
        <v>387127316.08802307</v>
      </c>
      <c r="E11" s="376">
        <f t="shared" ref="E11:J11" si="0">SUM(E6:E10)</f>
        <v>369817889.36426812</v>
      </c>
      <c r="F11" s="376">
        <f t="shared" si="0"/>
        <v>295218219.38965148</v>
      </c>
      <c r="G11" s="376">
        <f t="shared" si="0"/>
        <v>280021525.81261939</v>
      </c>
      <c r="H11" s="376">
        <f t="shared" si="0"/>
        <v>279863018.85446674</v>
      </c>
      <c r="I11" s="376">
        <f t="shared" si="0"/>
        <v>265603532.17012569</v>
      </c>
      <c r="J11" s="376">
        <f t="shared" si="0"/>
        <v>267044152.82386583</v>
      </c>
    </row>
    <row r="12" spans="3:11" x14ac:dyDescent="0.3">
      <c r="D12" s="1" t="b">
        <f>D11='2.1 Exp Summary'!E18/$D$2</f>
        <v>1</v>
      </c>
      <c r="E12" s="1" t="b">
        <f>E11='2.1 Exp Summary'!F18/$D$2</f>
        <v>1</v>
      </c>
      <c r="F12" s="1" t="b">
        <f>F11='2.1 Exp Summary'!G18/$D$2</f>
        <v>1</v>
      </c>
      <c r="G12" s="1" t="b">
        <f>G11='2.1 Exp Summary'!H18/$D$2</f>
        <v>1</v>
      </c>
      <c r="H12" s="1" t="b">
        <f>H11='2.1 Exp Summary'!I18/$D$2</f>
        <v>1</v>
      </c>
      <c r="I12" s="1" t="b">
        <f>I11='2.1 Exp Summary'!J18/$D$2</f>
        <v>1</v>
      </c>
      <c r="J12" s="1" t="b">
        <f>J11='2.1 Exp Summary'!K18/$D$2</f>
        <v>1</v>
      </c>
    </row>
    <row r="14" spans="3:11" x14ac:dyDescent="0.3">
      <c r="D14" s="625"/>
      <c r="E14" s="625"/>
      <c r="F14" s="625"/>
      <c r="G14" s="625"/>
      <c r="H14" s="625"/>
      <c r="I14" s="625"/>
      <c r="J14" s="625"/>
    </row>
    <row r="15" spans="3:11" x14ac:dyDescent="0.3">
      <c r="C15" s="8" t="s">
        <v>637</v>
      </c>
      <c r="D15" s="17" t="s">
        <v>626</v>
      </c>
      <c r="E15" s="17" t="s">
        <v>620</v>
      </c>
      <c r="F15" s="17" t="s">
        <v>621</v>
      </c>
      <c r="G15" s="17" t="s">
        <v>622</v>
      </c>
      <c r="H15" s="17" t="s">
        <v>623</v>
      </c>
      <c r="I15" s="17" t="s">
        <v>624</v>
      </c>
      <c r="J15" s="17" t="s">
        <v>625</v>
      </c>
    </row>
    <row r="16" spans="3:11" x14ac:dyDescent="0.3">
      <c r="C16" s="6" t="s">
        <v>631</v>
      </c>
      <c r="D16" s="420">
        <f t="shared" ref="D16:J20" si="1">D6*$D$2</f>
        <v>53753537.052876346</v>
      </c>
      <c r="E16" s="420">
        <f t="shared" si="1"/>
        <v>51339725.436592236</v>
      </c>
      <c r="F16" s="420">
        <f t="shared" si="1"/>
        <v>41147105.288093708</v>
      </c>
      <c r="G16" s="420">
        <f t="shared" si="1"/>
        <v>36852222.943760879</v>
      </c>
      <c r="H16" s="420">
        <f t="shared" si="1"/>
        <v>36150251.812696747</v>
      </c>
      <c r="I16" s="420">
        <f t="shared" si="1"/>
        <v>34086119.608516589</v>
      </c>
      <c r="J16" s="420">
        <f t="shared" si="1"/>
        <v>33719026.135495812</v>
      </c>
    </row>
    <row r="17" spans="3:10" x14ac:dyDescent="0.3">
      <c r="C17" s="6" t="s">
        <v>632</v>
      </c>
      <c r="D17" s="420">
        <f t="shared" si="1"/>
        <v>0</v>
      </c>
      <c r="E17" s="420">
        <f t="shared" si="1"/>
        <v>0</v>
      </c>
      <c r="F17" s="420">
        <f t="shared" si="1"/>
        <v>0</v>
      </c>
      <c r="G17" s="420">
        <f t="shared" si="1"/>
        <v>0</v>
      </c>
      <c r="H17" s="420">
        <f t="shared" si="1"/>
        <v>0</v>
      </c>
      <c r="I17" s="420">
        <f t="shared" si="1"/>
        <v>0</v>
      </c>
      <c r="J17" s="420">
        <f t="shared" si="1"/>
        <v>0</v>
      </c>
    </row>
    <row r="18" spans="3:10" x14ac:dyDescent="0.3">
      <c r="C18" s="6" t="s">
        <v>633</v>
      </c>
      <c r="D18" s="420">
        <f t="shared" si="1"/>
        <v>0</v>
      </c>
      <c r="E18" s="420">
        <f t="shared" si="1"/>
        <v>0</v>
      </c>
      <c r="F18" s="420">
        <f t="shared" si="1"/>
        <v>0</v>
      </c>
      <c r="G18" s="420">
        <f t="shared" si="1"/>
        <v>0</v>
      </c>
      <c r="H18" s="420">
        <f t="shared" si="1"/>
        <v>0</v>
      </c>
      <c r="I18" s="420">
        <f t="shared" si="1"/>
        <v>0</v>
      </c>
      <c r="J18" s="420">
        <f t="shared" si="1"/>
        <v>0</v>
      </c>
    </row>
    <row r="19" spans="3:10" x14ac:dyDescent="0.3">
      <c r="C19" s="6" t="s">
        <v>634</v>
      </c>
      <c r="D19" s="420">
        <f t="shared" si="1"/>
        <v>355741135.07578802</v>
      </c>
      <c r="E19" s="420">
        <f t="shared" si="1"/>
        <v>339845419.75761133</v>
      </c>
      <c r="F19" s="420">
        <f t="shared" si="1"/>
        <v>271128166.77740431</v>
      </c>
      <c r="G19" s="420">
        <f t="shared" si="1"/>
        <v>259348324.36025426</v>
      </c>
      <c r="H19" s="420">
        <f t="shared" si="1"/>
        <v>259882630.35336137</v>
      </c>
      <c r="I19" s="420">
        <f t="shared" si="1"/>
        <v>246863394.42032745</v>
      </c>
      <c r="J19" s="420">
        <f t="shared" si="1"/>
        <v>248754344.40708226</v>
      </c>
    </row>
    <row r="20" spans="3:10" x14ac:dyDescent="0.3">
      <c r="C20" s="6" t="s">
        <v>635</v>
      </c>
      <c r="D20" s="420">
        <f t="shared" si="1"/>
        <v>0</v>
      </c>
      <c r="E20" s="420">
        <f t="shared" si="1"/>
        <v>0</v>
      </c>
      <c r="F20" s="420">
        <f t="shared" si="1"/>
        <v>0</v>
      </c>
      <c r="G20" s="420">
        <f t="shared" si="1"/>
        <v>0</v>
      </c>
      <c r="H20" s="420">
        <f t="shared" si="1"/>
        <v>0</v>
      </c>
      <c r="I20" s="420">
        <f t="shared" si="1"/>
        <v>0</v>
      </c>
      <c r="J20" s="420">
        <f t="shared" si="1"/>
        <v>0</v>
      </c>
    </row>
    <row r="21" spans="3:10" x14ac:dyDescent="0.3">
      <c r="C21" s="419" t="s">
        <v>636</v>
      </c>
      <c r="D21" s="376">
        <f>SUM(D16:D20)</f>
        <v>409494672.12866437</v>
      </c>
      <c r="E21" s="376">
        <f t="shared" ref="E21:J21" si="2">SUM(E16:E20)</f>
        <v>391185145.19420356</v>
      </c>
      <c r="F21" s="376">
        <f t="shared" si="2"/>
        <v>312275272.06549799</v>
      </c>
      <c r="G21" s="376">
        <f t="shared" si="2"/>
        <v>296200547.30401516</v>
      </c>
      <c r="H21" s="376">
        <f t="shared" si="2"/>
        <v>296032882.16605812</v>
      </c>
      <c r="I21" s="376">
        <f t="shared" si="2"/>
        <v>280949514.02884406</v>
      </c>
      <c r="J21" s="376">
        <f t="shared" si="2"/>
        <v>282473370.5425781</v>
      </c>
    </row>
    <row r="22" spans="3:10" x14ac:dyDescent="0.3">
      <c r="D22" s="159" t="b">
        <f>D21='2.1 Exp Summary'!E18</f>
        <v>1</v>
      </c>
      <c r="E22" s="159" t="b">
        <f>E21='2.1 Exp Summary'!F18</f>
        <v>1</v>
      </c>
      <c r="F22" s="159" t="b">
        <f>F21='2.1 Exp Summary'!G18</f>
        <v>1</v>
      </c>
      <c r="G22" s="159" t="b">
        <f>G21='2.1 Exp Summary'!H18</f>
        <v>1</v>
      </c>
      <c r="H22" s="159" t="b">
        <f>H21='2.1 Exp Summary'!I18</f>
        <v>1</v>
      </c>
      <c r="I22" s="159" t="b">
        <f>I21='2.1 Exp Summary'!J18</f>
        <v>1</v>
      </c>
      <c r="J22" s="159" t="b">
        <f>J21='2.1 Exp Summary'!K18</f>
        <v>1</v>
      </c>
    </row>
  </sheetData>
  <mergeCells count="1">
    <mergeCell ref="D14:J14"/>
  </mergeCells>
  <hyperlinks>
    <hyperlink ref="C2" location="Contents!A1" display="Table of Contents" xr:uid="{DE96662D-D4BF-4B89-965A-DB91ABCEC08D}"/>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499984740745262"/>
  </sheetPr>
  <dimension ref="C3:C4"/>
  <sheetViews>
    <sheetView zoomScaleNormal="100" zoomScalePageLayoutView="125" workbookViewId="0">
      <selection activeCell="K24" sqref="K24"/>
    </sheetView>
  </sheetViews>
  <sheetFormatPr defaultColWidth="8.88671875" defaultRowHeight="14.4" x14ac:dyDescent="0.3"/>
  <cols>
    <col min="1" max="16384" width="8.88671875" style="22"/>
  </cols>
  <sheetData>
    <row r="3" spans="3:3" ht="18" x14ac:dyDescent="0.35">
      <c r="C3" s="21" t="s">
        <v>22</v>
      </c>
    </row>
    <row r="4" spans="3:3" x14ac:dyDescent="0.3">
      <c r="C4" s="26" t="s">
        <v>6</v>
      </c>
    </row>
  </sheetData>
  <hyperlinks>
    <hyperlink ref="C4" location="Contents!A1" display="Table of Contents" xr:uid="{00000000-0004-0000-0200-000000000000}"/>
  </hyperlinks>
  <pageMargins left="0.7" right="0.7" top="0.75" bottom="0.75" header="0.3" footer="0.3"/>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38"/>
  <dimension ref="B1:N30"/>
  <sheetViews>
    <sheetView zoomScale="85" zoomScaleNormal="85" workbookViewId="0">
      <selection activeCell="B2" sqref="B2"/>
    </sheetView>
  </sheetViews>
  <sheetFormatPr defaultRowHeight="14.4" outlineLevelCol="1" x14ac:dyDescent="0.3"/>
  <cols>
    <col min="1" max="1" width="5.33203125" style="1" customWidth="1"/>
    <col min="2" max="2" width="23.88671875" style="1" customWidth="1"/>
    <col min="3" max="3" width="64.6640625" style="1" customWidth="1"/>
    <col min="4" max="6" width="11" style="1" hidden="1" customWidth="1" outlineLevel="1"/>
    <col min="7" max="7" width="12" style="1" customWidth="1" collapsed="1"/>
    <col min="8" max="13" width="12" style="1" customWidth="1"/>
    <col min="14" max="16384" width="8.88671875" style="1"/>
  </cols>
  <sheetData>
    <row r="1" spans="2:13" ht="21" x14ac:dyDescent="0.4">
      <c r="B1" s="10" t="s">
        <v>316</v>
      </c>
      <c r="C1" s="514"/>
    </row>
    <row r="2" spans="2:13" x14ac:dyDescent="0.3">
      <c r="B2" s="25" t="s">
        <v>6</v>
      </c>
      <c r="G2" s="163" t="s">
        <v>354</v>
      </c>
      <c r="J2" s="101">
        <f>Escalators!$M$17</f>
        <v>1.0577777777777777</v>
      </c>
      <c r="K2" s="1" t="s">
        <v>585</v>
      </c>
    </row>
    <row r="4" spans="2:13" ht="15.6" x14ac:dyDescent="0.3">
      <c r="B4" s="115" t="s">
        <v>312</v>
      </c>
      <c r="C4" s="115"/>
      <c r="D4" s="115"/>
      <c r="E4" s="115"/>
      <c r="F4" s="115"/>
      <c r="G4" s="115"/>
      <c r="H4" s="115"/>
      <c r="I4" s="115"/>
      <c r="J4" s="115"/>
      <c r="K4" s="115"/>
      <c r="L4" s="115"/>
      <c r="M4" s="115"/>
    </row>
    <row r="5" spans="2:13" ht="15" thickBot="1" x14ac:dyDescent="0.35">
      <c r="B5" s="2"/>
      <c r="D5" s="116"/>
      <c r="E5" s="116"/>
      <c r="F5" s="116"/>
      <c r="G5" s="116"/>
      <c r="H5" s="116"/>
      <c r="K5" s="103"/>
      <c r="L5" s="103"/>
      <c r="M5" s="103"/>
    </row>
    <row r="6" spans="2:13" ht="15.75" customHeight="1" thickBot="1" x14ac:dyDescent="0.35">
      <c r="B6" s="628"/>
      <c r="C6" s="629"/>
      <c r="D6" s="638" t="s">
        <v>313</v>
      </c>
      <c r="E6" s="639"/>
      <c r="F6" s="639"/>
      <c r="G6" s="461"/>
      <c r="H6" s="462"/>
      <c r="I6" s="632" t="s">
        <v>314</v>
      </c>
      <c r="J6" s="633"/>
      <c r="K6" s="633"/>
      <c r="L6" s="633"/>
      <c r="M6" s="634"/>
    </row>
    <row r="7" spans="2:13" ht="29.25" customHeight="1" thickBot="1" x14ac:dyDescent="0.35">
      <c r="B7" s="630"/>
      <c r="C7" s="631"/>
      <c r="D7" s="455"/>
      <c r="E7" s="456"/>
      <c r="F7" s="456"/>
      <c r="G7" s="635" t="s">
        <v>671</v>
      </c>
      <c r="H7" s="636"/>
      <c r="I7" s="636"/>
      <c r="J7" s="636"/>
      <c r="K7" s="636"/>
      <c r="L7" s="636"/>
      <c r="M7" s="637"/>
    </row>
    <row r="8" spans="2:13" ht="15" thickBot="1" x14ac:dyDescent="0.35">
      <c r="B8" s="117" t="s">
        <v>315</v>
      </c>
      <c r="C8" s="118" t="s">
        <v>24</v>
      </c>
      <c r="D8" s="119"/>
      <c r="E8" s="120"/>
      <c r="F8" s="457"/>
      <c r="G8" s="458" t="s">
        <v>626</v>
      </c>
      <c r="H8" s="459" t="s">
        <v>620</v>
      </c>
      <c r="I8" s="459" t="s">
        <v>621</v>
      </c>
      <c r="J8" s="459" t="s">
        <v>622</v>
      </c>
      <c r="K8" s="459" t="s">
        <v>623</v>
      </c>
      <c r="L8" s="459" t="s">
        <v>624</v>
      </c>
      <c r="M8" s="460" t="s">
        <v>625</v>
      </c>
    </row>
    <row r="9" spans="2:13" ht="26.4" x14ac:dyDescent="0.3">
      <c r="B9" s="121" t="s">
        <v>694</v>
      </c>
      <c r="C9" s="121" t="s">
        <v>695</v>
      </c>
      <c r="D9" s="192"/>
      <c r="E9" s="191"/>
      <c r="F9" s="191"/>
      <c r="G9" s="192">
        <v>0</v>
      </c>
      <c r="H9" s="191">
        <v>742824.00292600226</v>
      </c>
      <c r="I9" s="191">
        <v>1851889.3688037151</v>
      </c>
      <c r="J9" s="191">
        <v>2826512.7909066286</v>
      </c>
      <c r="K9" s="191">
        <v>5027155.5395918889</v>
      </c>
      <c r="L9" s="191">
        <v>9996573.3198547587</v>
      </c>
      <c r="M9" s="193">
        <v>21233279.338129483</v>
      </c>
    </row>
    <row r="10" spans="2:13" x14ac:dyDescent="0.3">
      <c r="B10" s="122" t="s">
        <v>410</v>
      </c>
      <c r="C10" s="122" t="s">
        <v>696</v>
      </c>
      <c r="D10" s="194"/>
      <c r="E10" s="195"/>
      <c r="F10" s="195"/>
      <c r="G10" s="194">
        <f>REFCL_view!D19*Thousands</f>
        <v>16147558.913359912</v>
      </c>
      <c r="H10" s="195">
        <f>REFCL_view!E19*Thousands</f>
        <v>33957333.02349519</v>
      </c>
      <c r="I10" s="195">
        <f>REFCL_view!F19*Thousands</f>
        <v>27399588.893316165</v>
      </c>
      <c r="J10" s="195">
        <f>REFCL_view!G19*Thousands</f>
        <v>10135210.374957033</v>
      </c>
      <c r="K10" s="195">
        <f>REFCL_view!H19*Thousands</f>
        <v>0</v>
      </c>
      <c r="L10" s="195">
        <f>REFCL_view!I19*Thousands</f>
        <v>0</v>
      </c>
      <c r="M10" s="196">
        <f>REFCL_view!J19*Thousands</f>
        <v>0</v>
      </c>
    </row>
    <row r="11" spans="2:13" x14ac:dyDescent="0.3">
      <c r="B11" s="122" t="s">
        <v>651</v>
      </c>
      <c r="C11" s="122" t="s">
        <v>697</v>
      </c>
      <c r="D11" s="194"/>
      <c r="E11" s="195"/>
      <c r="F11" s="195"/>
      <c r="G11" s="194">
        <f>REFCL_view!D21*Thousands</f>
        <v>0</v>
      </c>
      <c r="H11" s="195">
        <f>REFCL_view!E21*Thousands</f>
        <v>0</v>
      </c>
      <c r="I11" s="195">
        <f>REFCL_view!F21*Thousands</f>
        <v>0</v>
      </c>
      <c r="J11" s="195">
        <f>REFCL_view!G21*Thousands</f>
        <v>12005835.724716794</v>
      </c>
      <c r="K11" s="195">
        <f>REFCL_view!H21*Thousands</f>
        <v>21343613.480876435</v>
      </c>
      <c r="L11" s="195">
        <f>REFCL_view!I21*Thousands</f>
        <v>30775991.688868444</v>
      </c>
      <c r="M11" s="196">
        <f>REFCL_view!J21*Thousands</f>
        <v>33637208.861343749</v>
      </c>
    </row>
    <row r="12" spans="2:13" x14ac:dyDescent="0.3">
      <c r="B12" s="122"/>
      <c r="C12" s="122"/>
      <c r="D12" s="194"/>
      <c r="E12" s="195"/>
      <c r="F12" s="195"/>
      <c r="G12" s="194"/>
      <c r="H12" s="195"/>
      <c r="I12" s="195"/>
      <c r="J12" s="195"/>
      <c r="K12" s="195"/>
      <c r="L12" s="195"/>
      <c r="M12" s="196"/>
    </row>
    <row r="13" spans="2:13" x14ac:dyDescent="0.3">
      <c r="B13" s="122"/>
      <c r="C13" s="122"/>
      <c r="D13" s="194"/>
      <c r="E13" s="195"/>
      <c r="F13" s="195"/>
      <c r="G13" s="194"/>
      <c r="H13" s="195"/>
      <c r="I13" s="195"/>
      <c r="J13" s="195"/>
      <c r="K13" s="195"/>
      <c r="L13" s="195"/>
      <c r="M13" s="196"/>
    </row>
    <row r="14" spans="2:13" x14ac:dyDescent="0.3">
      <c r="B14" s="122"/>
      <c r="C14" s="122"/>
      <c r="D14" s="194"/>
      <c r="E14" s="195"/>
      <c r="F14" s="195"/>
      <c r="G14" s="194"/>
      <c r="H14" s="195"/>
      <c r="I14" s="195"/>
      <c r="J14" s="195"/>
      <c r="K14" s="195"/>
      <c r="L14" s="195"/>
      <c r="M14" s="196"/>
    </row>
    <row r="15" spans="2:13" x14ac:dyDescent="0.3">
      <c r="B15" s="122"/>
      <c r="C15" s="122"/>
      <c r="D15" s="194"/>
      <c r="E15" s="195"/>
      <c r="F15" s="195"/>
      <c r="G15" s="194"/>
      <c r="H15" s="195"/>
      <c r="I15" s="195"/>
      <c r="J15" s="195"/>
      <c r="K15" s="195"/>
      <c r="L15" s="195"/>
      <c r="M15" s="196"/>
    </row>
    <row r="16" spans="2:13" x14ac:dyDescent="0.3">
      <c r="B16" s="122"/>
      <c r="C16" s="122"/>
      <c r="D16" s="194"/>
      <c r="E16" s="195"/>
      <c r="F16" s="195"/>
      <c r="G16" s="194"/>
      <c r="H16" s="195"/>
      <c r="I16" s="195"/>
      <c r="J16" s="195"/>
      <c r="K16" s="195"/>
      <c r="L16" s="195"/>
      <c r="M16" s="196"/>
    </row>
    <row r="17" spans="2:14" x14ac:dyDescent="0.3">
      <c r="B17" s="122"/>
      <c r="C17" s="122"/>
      <c r="D17" s="194"/>
      <c r="E17" s="195"/>
      <c r="F17" s="195"/>
      <c r="G17" s="194"/>
      <c r="H17" s="195"/>
      <c r="I17" s="195"/>
      <c r="J17" s="195"/>
      <c r="K17" s="195"/>
      <c r="L17" s="195"/>
      <c r="M17" s="196"/>
    </row>
    <row r="18" spans="2:14" x14ac:dyDescent="0.3">
      <c r="B18" s="122"/>
      <c r="C18" s="122"/>
      <c r="D18" s="194"/>
      <c r="E18" s="195"/>
      <c r="F18" s="195"/>
      <c r="G18" s="194"/>
      <c r="H18" s="195"/>
      <c r="I18" s="195"/>
      <c r="J18" s="195"/>
      <c r="K18" s="195"/>
      <c r="L18" s="195"/>
      <c r="M18" s="196"/>
      <c r="N18" s="515"/>
    </row>
    <row r="19" spans="2:14" x14ac:dyDescent="0.3">
      <c r="B19" s="122"/>
      <c r="C19" s="122"/>
      <c r="D19" s="194"/>
      <c r="E19" s="195"/>
      <c r="F19" s="195"/>
      <c r="G19" s="194"/>
      <c r="H19" s="195"/>
      <c r="I19" s="195"/>
      <c r="J19" s="195"/>
      <c r="K19" s="195"/>
      <c r="L19" s="195"/>
      <c r="M19" s="196"/>
    </row>
    <row r="20" spans="2:14" x14ac:dyDescent="0.3">
      <c r="B20" s="122"/>
      <c r="C20" s="122"/>
      <c r="D20" s="194"/>
      <c r="E20" s="195"/>
      <c r="F20" s="195"/>
      <c r="G20" s="194"/>
      <c r="H20" s="195"/>
      <c r="I20" s="195"/>
      <c r="J20" s="195"/>
      <c r="K20" s="195"/>
      <c r="L20" s="195"/>
      <c r="M20" s="196"/>
    </row>
    <row r="21" spans="2:14" x14ac:dyDescent="0.3">
      <c r="B21" s="122"/>
      <c r="C21" s="122"/>
      <c r="D21" s="194"/>
      <c r="E21" s="195"/>
      <c r="F21" s="195"/>
      <c r="G21" s="194"/>
      <c r="H21" s="195"/>
      <c r="I21" s="195"/>
      <c r="J21" s="195"/>
      <c r="K21" s="195"/>
      <c r="L21" s="195"/>
      <c r="M21" s="196"/>
    </row>
    <row r="22" spans="2:14" x14ac:dyDescent="0.3">
      <c r="B22" s="122"/>
      <c r="C22" s="122"/>
      <c r="D22" s="194"/>
      <c r="E22" s="195"/>
      <c r="F22" s="195"/>
      <c r="G22" s="194"/>
      <c r="H22" s="195"/>
      <c r="I22" s="195"/>
      <c r="J22" s="195"/>
      <c r="K22" s="195"/>
      <c r="L22" s="195"/>
      <c r="M22" s="196"/>
    </row>
    <row r="23" spans="2:14" x14ac:dyDescent="0.3">
      <c r="B23" s="122"/>
      <c r="C23" s="122"/>
      <c r="D23" s="194"/>
      <c r="E23" s="195"/>
      <c r="F23" s="195"/>
      <c r="G23" s="194"/>
      <c r="H23" s="195"/>
      <c r="I23" s="195"/>
      <c r="J23" s="195"/>
      <c r="K23" s="195"/>
      <c r="L23" s="195"/>
      <c r="M23" s="196"/>
    </row>
    <row r="24" spans="2:14" ht="15" thickBot="1" x14ac:dyDescent="0.35">
      <c r="B24" s="123"/>
      <c r="C24" s="124"/>
      <c r="D24" s="197"/>
      <c r="E24" s="198"/>
      <c r="F24" s="198"/>
      <c r="G24" s="197"/>
      <c r="H24" s="198"/>
      <c r="I24" s="198"/>
      <c r="J24" s="198"/>
      <c r="K24" s="198"/>
      <c r="L24" s="198"/>
      <c r="M24" s="199"/>
    </row>
    <row r="25" spans="2:14" ht="18" thickBot="1" x14ac:dyDescent="0.35">
      <c r="B25" s="626" t="s">
        <v>146</v>
      </c>
      <c r="C25" s="627"/>
      <c r="D25" s="200">
        <f>SUM(D9:D24)</f>
        <v>0</v>
      </c>
      <c r="E25" s="201">
        <f t="shared" ref="E25:M25" si="0">SUM(E9:E24)</f>
        <v>0</v>
      </c>
      <c r="F25" s="201">
        <f t="shared" si="0"/>
        <v>0</v>
      </c>
      <c r="G25" s="200">
        <f t="shared" si="0"/>
        <v>16147558.913359912</v>
      </c>
      <c r="H25" s="201">
        <f t="shared" si="0"/>
        <v>34700157.026421189</v>
      </c>
      <c r="I25" s="201">
        <f t="shared" si="0"/>
        <v>29251478.262119878</v>
      </c>
      <c r="J25" s="201">
        <f t="shared" si="0"/>
        <v>24967558.890580453</v>
      </c>
      <c r="K25" s="201">
        <f t="shared" si="0"/>
        <v>26370769.020468324</v>
      </c>
      <c r="L25" s="201">
        <f t="shared" si="0"/>
        <v>40772565.008723199</v>
      </c>
      <c r="M25" s="202">
        <f t="shared" si="0"/>
        <v>54870488.199473232</v>
      </c>
    </row>
    <row r="27" spans="2:14" x14ac:dyDescent="0.3">
      <c r="C27" s="79"/>
    </row>
    <row r="29" spans="2:14" x14ac:dyDescent="0.3">
      <c r="H29" s="39"/>
      <c r="I29" s="39"/>
      <c r="J29" s="39"/>
      <c r="K29" s="39"/>
      <c r="L29" s="39"/>
      <c r="M29" s="39"/>
    </row>
    <row r="30" spans="2:14" x14ac:dyDescent="0.3">
      <c r="H30" s="39"/>
      <c r="I30" s="39"/>
      <c r="J30" s="39"/>
      <c r="K30" s="39"/>
      <c r="L30" s="39"/>
      <c r="M30" s="39"/>
    </row>
  </sheetData>
  <mergeCells count="5">
    <mergeCell ref="B25:C25"/>
    <mergeCell ref="B6:C7"/>
    <mergeCell ref="I6:M6"/>
    <mergeCell ref="G7:M7"/>
    <mergeCell ref="D6:F6"/>
  </mergeCells>
  <hyperlinks>
    <hyperlink ref="B2" location="Contents!A1" display="Table of Contents" xr:uid="{00000000-0004-0000-2D00-000000000000}"/>
  </hyperlinks>
  <pageMargins left="0.7" right="0.7" top="0.75" bottom="0.75" header="0.3" footer="0.3"/>
  <pageSetup paperSize="9" scale="63" orientation="landscape" verticalDpi="0" r:id="rId1"/>
  <colBreaks count="1" manualBreakCount="1">
    <brk id="13" max="1048575" man="1"/>
  </colBreaks>
  <ignoredErrors>
    <ignoredError sqref="G11:M11 G10:M10" unlockedFormula="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39">
    <tabColor theme="6" tint="0.59999389629810485"/>
  </sheetPr>
  <dimension ref="C3:C4"/>
  <sheetViews>
    <sheetView zoomScale="115" zoomScaleNormal="115" zoomScalePageLayoutView="125" workbookViewId="0">
      <selection activeCell="M23" sqref="M23"/>
    </sheetView>
  </sheetViews>
  <sheetFormatPr defaultColWidth="8.88671875" defaultRowHeight="14.4" x14ac:dyDescent="0.3"/>
  <cols>
    <col min="1" max="1" width="8.88671875" style="22"/>
    <col min="2" max="2" width="5" style="22" customWidth="1"/>
    <col min="3" max="16384" width="8.88671875" style="22"/>
  </cols>
  <sheetData>
    <row r="3" spans="3:3" ht="18" x14ac:dyDescent="0.35">
      <c r="C3" s="21" t="s">
        <v>347</v>
      </c>
    </row>
    <row r="4" spans="3:3" x14ac:dyDescent="0.3">
      <c r="C4" s="26" t="s">
        <v>6</v>
      </c>
    </row>
  </sheetData>
  <hyperlinks>
    <hyperlink ref="C4" location="Contents!A1" display="Table of Contents" xr:uid="{00000000-0004-0000-2E00-000000000000}"/>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0"/>
  <dimension ref="B1:S40"/>
  <sheetViews>
    <sheetView zoomScale="85" zoomScaleNormal="85" workbookViewId="0">
      <selection activeCell="A24" sqref="A24"/>
    </sheetView>
  </sheetViews>
  <sheetFormatPr defaultRowHeight="14.4" x14ac:dyDescent="0.3"/>
  <cols>
    <col min="1" max="1" width="5.6640625" customWidth="1"/>
    <col min="2" max="2" width="35.44140625" bestFit="1" customWidth="1"/>
  </cols>
  <sheetData>
    <row r="1" spans="2:19" x14ac:dyDescent="0.3">
      <c r="B1" t="s">
        <v>318</v>
      </c>
      <c r="G1" s="596" t="s">
        <v>749</v>
      </c>
      <c r="H1" s="596"/>
    </row>
    <row r="2" spans="2:19" x14ac:dyDescent="0.3">
      <c r="C2" s="262"/>
      <c r="D2" s="262"/>
      <c r="E2" s="262" t="s">
        <v>642</v>
      </c>
      <c r="F2" s="262"/>
      <c r="G2" s="262"/>
      <c r="H2" s="262"/>
      <c r="I2" s="262"/>
      <c r="J2" s="262"/>
      <c r="L2" s="262"/>
      <c r="M2" s="262"/>
      <c r="N2" s="262" t="s">
        <v>642</v>
      </c>
      <c r="O2" s="262"/>
      <c r="P2" s="262"/>
      <c r="Q2" s="262"/>
      <c r="R2" s="262"/>
      <c r="S2" s="262"/>
    </row>
    <row r="3" spans="2:19" x14ac:dyDescent="0.3">
      <c r="C3" s="359">
        <f>CP_Yr_4</f>
        <v>43800</v>
      </c>
      <c r="D3" s="359">
        <f>CP_Yr_5</f>
        <v>44166</v>
      </c>
      <c r="E3" s="359">
        <f>Stub</f>
        <v>44377</v>
      </c>
      <c r="F3" s="359">
        <f>Yr_1</f>
        <v>44742</v>
      </c>
      <c r="G3" s="359">
        <f>Yr_2</f>
        <v>45107</v>
      </c>
      <c r="H3" s="359">
        <f>Yr_3</f>
        <v>45473</v>
      </c>
      <c r="I3" s="359">
        <f>Yr_4</f>
        <v>45838</v>
      </c>
      <c r="J3" s="359">
        <f>Yr_5</f>
        <v>46203</v>
      </c>
      <c r="L3" s="359">
        <f>CP_Yr_4</f>
        <v>43800</v>
      </c>
      <c r="M3" s="359">
        <f>CP_Yr_5</f>
        <v>44166</v>
      </c>
      <c r="N3" s="359">
        <f>Stub</f>
        <v>44377</v>
      </c>
      <c r="O3" s="359">
        <f>Yr_1</f>
        <v>44742</v>
      </c>
      <c r="P3" s="359">
        <f>Yr_2</f>
        <v>45107</v>
      </c>
      <c r="Q3" s="359">
        <f>Yr_3</f>
        <v>45473</v>
      </c>
      <c r="R3" s="359">
        <f>Yr_4</f>
        <v>45838</v>
      </c>
      <c r="S3" s="359">
        <f>Yr_5</f>
        <v>46203</v>
      </c>
    </row>
    <row r="4" spans="2:19" x14ac:dyDescent="0.3">
      <c r="B4" t="s">
        <v>190</v>
      </c>
      <c r="C4" s="125">
        <f>SUMPRODUCT((Stations!$I$7:$I$38=Repex_Analysis!$B4)*Stations!J$7:J$38)+SUMPRODUCT((Lines!$I$7:$I$37=Repex_Analysis!$B4)*Lines!J$7:J$37)+SUMPRODUCT((ESL_1!$I$7:$I$37=Repex_Analysis!$B4)*ESL_1!J$7:J$37)</f>
        <v>0</v>
      </c>
      <c r="D4" s="125">
        <f>SUMPRODUCT((Stations!$I$7:$I$38=Repex_Analysis!$B4)*Stations!K$7:K$38)+SUMPRODUCT((Lines!$I$7:$I$37=Repex_Analysis!$B4)*Lines!K$7:K$37)+SUMPRODUCT((ESL_1!$I$7:$I$37=Repex_Analysis!$B4)*ESL_1!K$7:K$37)</f>
        <v>0</v>
      </c>
      <c r="E4" s="125">
        <f>SUMPRODUCT((Stations!$I$7:$I$38=Repex_Analysis!$B4)*Stations!L$7:L$38)+SUMPRODUCT((Lines!$I$7:$I$37=Repex_Analysis!$B4)*Lines!L$7:L$37)+SUMPRODUCT((ESL_1!$I$7:$I$37=Repex_Analysis!$B4)*ESL_1!L$7:L$37)</f>
        <v>0</v>
      </c>
      <c r="F4" s="523"/>
      <c r="G4" s="523"/>
      <c r="H4" s="523"/>
      <c r="I4" s="523"/>
      <c r="J4" s="523"/>
    </row>
    <row r="5" spans="2:19" x14ac:dyDescent="0.3">
      <c r="B5" t="s">
        <v>191</v>
      </c>
      <c r="C5" s="125">
        <f>SUMPRODUCT((Stations!$I$7:$I$38=Repex_Analysis!$B5)*Stations!J$7:J$38)+SUMPRODUCT((Lines!$I$7:$I$37=Repex_Analysis!$B5)*Lines!J$7:J$37)+SUMPRODUCT((ESL_1!$I$7:$I$37=Repex_Analysis!$B5)*ESL_1!J$7:J$37)</f>
        <v>0</v>
      </c>
      <c r="D5" s="125">
        <f>SUMPRODUCT((Stations!$I$7:$I$38=Repex_Analysis!$B5)*Stations!K$7:K$38)+SUMPRODUCT((Lines!$I$7:$I$37=Repex_Analysis!$B5)*Lines!K$7:K$37)+SUMPRODUCT((ESL_1!$I$7:$I$37=Repex_Analysis!$B5)*ESL_1!K$7:K$37)</f>
        <v>0</v>
      </c>
      <c r="E5" s="125">
        <f>SUMPRODUCT((Stations!$I$7:$I$38=Repex_Analysis!$B5)*Stations!L$7:L$38)+SUMPRODUCT((Lines!$I$7:$I$37=Repex_Analysis!$B5)*Lines!L$7:L$37)+SUMPRODUCT((ESL_1!$I$7:$I$37=Repex_Analysis!$B5)*ESL_1!L$7:L$37)</f>
        <v>0</v>
      </c>
      <c r="F5" s="523"/>
      <c r="G5" s="523"/>
      <c r="H5" s="523"/>
      <c r="I5" s="523"/>
      <c r="J5" s="523"/>
    </row>
    <row r="6" spans="2:19" x14ac:dyDescent="0.3">
      <c r="B6" t="s">
        <v>192</v>
      </c>
      <c r="C6" s="125">
        <f>SUMPRODUCT((Stations!$I$7:$I$38=Repex_Analysis!$B6)*Stations!J$7:J$38)+SUMPRODUCT((Lines!$I$7:$I$37=Repex_Analysis!$B6)*Lines!J$7:J$37)+SUMPRODUCT((ESL_1!$I$7:$I$37=Repex_Analysis!$B6)*ESL_1!J$7:J$37)</f>
        <v>0</v>
      </c>
      <c r="D6" s="125">
        <f>SUMPRODUCT((Stations!$I$7:$I$38=Repex_Analysis!$B6)*Stations!K$7:K$38)+SUMPRODUCT((Lines!$I$7:$I$37=Repex_Analysis!$B6)*Lines!K$7:K$37)+SUMPRODUCT((ESL_1!$I$7:$I$37=Repex_Analysis!$B6)*ESL_1!K$7:K$37)</f>
        <v>0</v>
      </c>
      <c r="E6" s="125">
        <f>SUMPRODUCT((Stations!$I$7:$I$38=Repex_Analysis!$B6)*Stations!L$7:L$38)+SUMPRODUCT((Lines!$I$7:$I$37=Repex_Analysis!$B6)*Lines!L$7:L$37)+SUMPRODUCT((ESL_1!$I$7:$I$37=Repex_Analysis!$B6)*ESL_1!L$7:L$37)</f>
        <v>0</v>
      </c>
      <c r="F6" s="523"/>
      <c r="G6" s="523"/>
      <c r="H6" s="523"/>
      <c r="I6" s="523"/>
      <c r="J6" s="523"/>
    </row>
    <row r="7" spans="2:19" x14ac:dyDescent="0.3">
      <c r="B7" s="84" t="s">
        <v>193</v>
      </c>
      <c r="C7" s="56">
        <f>SUMPRODUCT((Stations!$I$7:$I$38=Repex_Analysis!$B7)*Stations!J$7:J$38)+SUMPRODUCT((Lines!$I$7:$I$37=Repex_Analysis!$B7)*Lines!J$7:J$37)+SUMPRODUCT((ESL_1!$I$7:$I$37=Repex_Analysis!$B7)*ESL_1!J$7:J$37)</f>
        <v>0</v>
      </c>
      <c r="D7" s="56">
        <f>SUMPRODUCT((Stations!$I$7:$I$38=Repex_Analysis!$B7)*Stations!K$7:K$38)+SUMPRODUCT((Lines!$I$7:$I$37=Repex_Analysis!$B7)*Lines!K$7:K$37)+SUMPRODUCT((ESL_1!$I$7:$I$37=Repex_Analysis!$B7)*ESL_1!K$7:K$37)</f>
        <v>0</v>
      </c>
      <c r="E7" s="56">
        <f>SUMPRODUCT((Stations!$I$7:$I$38=Repex_Analysis!$B7)*Stations!L$7:L$38)+SUMPRODUCT((Lines!$I$7:$I$37=Repex_Analysis!$B7)*Lines!L$7:L$37)+SUMPRODUCT((ESL_1!$I$7:$I$37=Repex_Analysis!$B7)*ESL_1!L$7:L$37)</f>
        <v>0</v>
      </c>
      <c r="F7" s="523"/>
      <c r="G7" s="523"/>
      <c r="H7" s="523"/>
      <c r="I7" s="523"/>
      <c r="J7" s="523"/>
      <c r="K7" s="222" t="s">
        <v>366</v>
      </c>
    </row>
    <row r="8" spans="2:19" x14ac:dyDescent="0.3">
      <c r="B8" t="s">
        <v>272</v>
      </c>
      <c r="C8" s="221">
        <f>SUMPRODUCT((Stations!$I$7:$I$38=Repex_Analysis!$B8)*Stations!J$7:J$38)+SUMPRODUCT((Lines!$I$7:$I$37=Repex_Analysis!$B8)*Lines!J$7:J$37)+SUMPRODUCT((ESL_1!$I$7:$I$37=Repex_Analysis!$B8)*ESL_1!J$7:J$37)</f>
        <v>0</v>
      </c>
      <c r="D8" s="221">
        <f>SUMPRODUCT((Stations!$I$7:$I$38=Repex_Analysis!$B8)*Stations!K$7:K$38)+SUMPRODUCT((Lines!$I$7:$I$37=Repex_Analysis!$B8)*Lines!K$7:K$37)+SUMPRODUCT((ESL_1!$I$7:$I$37=Repex_Analysis!$B8)*ESL_1!K$7:K$37)</f>
        <v>0</v>
      </c>
      <c r="E8" s="221">
        <f>SUMPRODUCT((Stations!$I$7:$I$38=Repex_Analysis!$B8)*Stations!L$7:L$38)+SUMPRODUCT((Lines!$I$7:$I$37=Repex_Analysis!$B8)*Lines!L$7:L$37)+SUMPRODUCT((ESL_1!$I$7:$I$37=Repex_Analysis!$B8)*ESL_1!L$7:L$37)</f>
        <v>0</v>
      </c>
      <c r="F8" s="523"/>
      <c r="G8" s="523"/>
      <c r="H8" s="523"/>
      <c r="I8" s="523"/>
      <c r="J8" s="523"/>
    </row>
    <row r="9" spans="2:19" x14ac:dyDescent="0.3">
      <c r="B9" t="s">
        <v>270</v>
      </c>
      <c r="C9" s="125">
        <f>SUMPRODUCT((Stations!$I$7:$I$38=Repex_Analysis!$B9)*Stations!J$7:J$38)+SUMPRODUCT((Lines!$I$7:$I$37=Repex_Analysis!$B9)*Lines!J$7:J$37)+SUMPRODUCT((ESL_1!$I$7:$I$37=Repex_Analysis!$B9)*ESL_1!J$7:J$37)</f>
        <v>0</v>
      </c>
      <c r="D9" s="125">
        <f>SUMPRODUCT((Stations!$I$7:$I$38=Repex_Analysis!$B9)*Stations!K$7:K$38)+SUMPRODUCT((Lines!$I$7:$I$37=Repex_Analysis!$B9)*Lines!K$7:K$37)+SUMPRODUCT((ESL_1!$I$7:$I$37=Repex_Analysis!$B9)*ESL_1!K$7:K$37)</f>
        <v>0</v>
      </c>
      <c r="E9" s="125">
        <f>SUMPRODUCT((Stations!$I$7:$I$38=Repex_Analysis!$B9)*Stations!L$7:L$38)+SUMPRODUCT((Lines!$I$7:$I$37=Repex_Analysis!$B9)*Lines!L$7:L$37)+SUMPRODUCT((ESL_1!$I$7:$I$37=Repex_Analysis!$B9)*ESL_1!L$7:L$37)</f>
        <v>0</v>
      </c>
      <c r="F9" s="523"/>
      <c r="G9" s="523"/>
      <c r="H9" s="523"/>
      <c r="I9" s="523"/>
      <c r="J9" s="523"/>
    </row>
    <row r="10" spans="2:19" x14ac:dyDescent="0.3">
      <c r="B10" t="s">
        <v>474</v>
      </c>
      <c r="C10" s="125">
        <f>SUMPRODUCT((Stations!$I$7:$I$38=Repex_Analysis!$B10)*Stations!J$7:J$38)+SUMPRODUCT((Lines!$I$7:$I$37=Repex_Analysis!$B10)*Lines!J$7:J$37)+SUMPRODUCT((ESL_1!$I$7:$I$37=Repex_Analysis!$B10)*ESL_1!J$7:J$37)</f>
        <v>0</v>
      </c>
      <c r="D10" s="125">
        <f>SUMPRODUCT((Stations!$I$7:$I$38=Repex_Analysis!$B10)*Stations!K$7:K$38)+SUMPRODUCT((Lines!$I$7:$I$37=Repex_Analysis!$B10)*Lines!K$7:K$37)+SUMPRODUCT((ESL_1!$I$7:$I$37=Repex_Analysis!$B10)*ESL_1!K$7:K$37)</f>
        <v>0</v>
      </c>
      <c r="E10" s="125">
        <f>SUMPRODUCT((Stations!$I$7:$I$38=Repex_Analysis!$B10)*Stations!L$7:L$38)+SUMPRODUCT((Lines!$I$7:$I$37=Repex_Analysis!$B10)*Lines!L$7:L$37)+SUMPRODUCT((ESL_1!$I$7:$I$37=Repex_Analysis!$B10)*ESL_1!L$7:L$37)</f>
        <v>0</v>
      </c>
      <c r="F10" s="523"/>
      <c r="G10" s="523"/>
      <c r="H10" s="523"/>
      <c r="I10" s="523"/>
      <c r="J10" s="523"/>
    </row>
    <row r="11" spans="2:19" x14ac:dyDescent="0.3">
      <c r="B11" t="s">
        <v>103</v>
      </c>
      <c r="C11" s="125">
        <f>SUMPRODUCT((Stations!$I$7:$I$38=Repex_Analysis!$B11)*Stations!J$7:J$38)+SUMPRODUCT((Lines!$I$7:$I$37=Repex_Analysis!$B11)*Lines!J$7:J$37)+SUMPRODUCT((ESL_1!$I$7:$I$37=Repex_Analysis!$B11)*ESL_1!J$7:J$37)</f>
        <v>0</v>
      </c>
      <c r="D11" s="125">
        <f>SUMPRODUCT((Stations!$I$7:$I$38=Repex_Analysis!$B11)*Stations!K$7:K$38)+SUMPRODUCT((Lines!$I$7:$I$37=Repex_Analysis!$B11)*Lines!K$7:K$37)+SUMPRODUCT((ESL_1!$I$7:$I$37=Repex_Analysis!$B11)*ESL_1!K$7:K$37)</f>
        <v>0</v>
      </c>
      <c r="E11" s="125">
        <f>SUMPRODUCT((Stations!$I$7:$I$38=Repex_Analysis!$B11)*Stations!L$7:L$38)+SUMPRODUCT((Lines!$I$7:$I$37=Repex_Analysis!$B11)*Lines!L$7:L$37)+SUMPRODUCT((ESL_1!$I$7:$I$37=Repex_Analysis!$B11)*ESL_1!L$7:L$37)</f>
        <v>0</v>
      </c>
      <c r="F11" s="523"/>
      <c r="G11" s="523"/>
      <c r="H11" s="523"/>
      <c r="I11" s="523"/>
      <c r="J11" s="523"/>
    </row>
    <row r="12" spans="2:19" x14ac:dyDescent="0.3">
      <c r="B12" t="s">
        <v>194</v>
      </c>
      <c r="C12" s="125">
        <f>SUMPRODUCT((Stations!$I$7:$I$38=Repex_Analysis!$B12)*Stations!J$7:J$38)+SUMPRODUCT((Lines!$I$7:$I$37=Repex_Analysis!$B12)*Lines!J$7:J$37)+SUMPRODUCT((ESL_1!$I$7:$I$37=Repex_Analysis!$B12)*ESL_1!J$7:J$37)</f>
        <v>0</v>
      </c>
      <c r="D12" s="125">
        <f>SUMPRODUCT((Stations!$I$7:$I$38=Repex_Analysis!$B12)*Stations!K$7:K$38)+SUMPRODUCT((Lines!$I$7:$I$37=Repex_Analysis!$B12)*Lines!K$7:K$37)+SUMPRODUCT((ESL_1!$I$7:$I$37=Repex_Analysis!$B12)*ESL_1!K$7:K$37)</f>
        <v>0</v>
      </c>
      <c r="E12" s="125">
        <f>SUMPRODUCT((Stations!$I$7:$I$38=Repex_Analysis!$B12)*Stations!L$7:L$38)+SUMPRODUCT((Lines!$I$7:$I$37=Repex_Analysis!$B12)*Lines!L$7:L$37)+SUMPRODUCT((ESL_1!$I$7:$I$37=Repex_Analysis!$B12)*ESL_1!L$7:L$37)</f>
        <v>0</v>
      </c>
      <c r="F12" s="523"/>
      <c r="G12" s="523"/>
      <c r="H12" s="523"/>
      <c r="I12" s="523"/>
      <c r="J12" s="523"/>
    </row>
    <row r="13" spans="2:19" x14ac:dyDescent="0.3">
      <c r="B13" t="s">
        <v>195</v>
      </c>
      <c r="C13" s="125">
        <f>SUMPRODUCT((Stations!$I$7:$I$38=Repex_Analysis!$B13)*Stations!J$7:J$38)+SUMPRODUCT((Lines!$I$7:$I$37=Repex_Analysis!$B13)*Lines!J$7:J$37)+SUMPRODUCT((ESL_1!$I$7:$I$37=Repex_Analysis!$B13)*ESL_1!J$7:J$37)</f>
        <v>0</v>
      </c>
      <c r="D13" s="125">
        <f>SUMPRODUCT((Stations!$I$7:$I$38=Repex_Analysis!$B13)*Stations!K$7:K$38)+SUMPRODUCT((Lines!$I$7:$I$37=Repex_Analysis!$B13)*Lines!K$7:K$37)+SUMPRODUCT((ESL_1!$I$7:$I$37=Repex_Analysis!$B13)*ESL_1!K$7:K$37)</f>
        <v>0</v>
      </c>
      <c r="E13" s="125">
        <f>SUMPRODUCT((Stations!$I$7:$I$38=Repex_Analysis!$B13)*Stations!L$7:L$38)+SUMPRODUCT((Lines!$I$7:$I$37=Repex_Analysis!$B13)*Lines!L$7:L$37)+SUMPRODUCT((ESL_1!$I$7:$I$37=Repex_Analysis!$B13)*ESL_1!L$7:L$37)</f>
        <v>0</v>
      </c>
      <c r="F13" s="523"/>
      <c r="G13" s="523"/>
      <c r="H13" s="523"/>
      <c r="I13" s="523"/>
      <c r="J13" s="523"/>
    </row>
    <row r="14" spans="2:19" x14ac:dyDescent="0.3">
      <c r="B14" t="s">
        <v>196</v>
      </c>
      <c r="C14" s="125">
        <f>SUMPRODUCT((Stations!$I$7:$I$38=Repex_Analysis!$B14)*Stations!J$7:J$38)+SUMPRODUCT((Lines!$I$7:$I$37=Repex_Analysis!$B14)*Lines!J$7:J$37)+SUMPRODUCT((ESL_1!$I$7:$I$37=Repex_Analysis!$B14)*ESL_1!J$7:J$37)</f>
        <v>0</v>
      </c>
      <c r="D14" s="125">
        <f>SUMPRODUCT((Stations!$I$7:$I$38=Repex_Analysis!$B14)*Stations!K$7:K$38)+SUMPRODUCT((Lines!$I$7:$I$37=Repex_Analysis!$B14)*Lines!K$7:K$37)+SUMPRODUCT((ESL_1!$I$7:$I$37=Repex_Analysis!$B14)*ESL_1!K$7:K$37)</f>
        <v>0</v>
      </c>
      <c r="E14" s="125">
        <f>SUMPRODUCT((Stations!$I$7:$I$38=Repex_Analysis!$B14)*Stations!L$7:L$38)+SUMPRODUCT((Lines!$I$7:$I$37=Repex_Analysis!$B14)*Lines!L$7:L$37)+SUMPRODUCT((ESL_1!$I$7:$I$37=Repex_Analysis!$B14)*ESL_1!L$7:L$37)</f>
        <v>0</v>
      </c>
      <c r="F14" s="523"/>
      <c r="G14" s="523"/>
      <c r="H14" s="523"/>
      <c r="I14" s="523"/>
      <c r="J14" s="523"/>
      <c r="L14" t="s">
        <v>319</v>
      </c>
    </row>
    <row r="15" spans="2:19" x14ac:dyDescent="0.3">
      <c r="B15" s="84" t="s">
        <v>197</v>
      </c>
      <c r="C15" s="56">
        <f>SUMPRODUCT((Stations!$I$7:$I$38=Repex_Analysis!$B15)*Stations!J$7:J$38)+SUMPRODUCT((Lines!$I$7:$I$37=Repex_Analysis!$B15)*Lines!J$7:J$37)+SUMPRODUCT((ESL_1!$I$7:$I$37=Repex_Analysis!$B15)*ESL_1!J$7:J$37)</f>
        <v>0</v>
      </c>
      <c r="D15" s="56">
        <f>SUMPRODUCT((Stations!$I$7:$I$38=Repex_Analysis!$B15)*Stations!K$7:K$38)+SUMPRODUCT((Lines!$I$7:$I$37=Repex_Analysis!$B15)*Lines!K$7:K$37)+SUMPRODUCT((ESL_1!$I$7:$I$37=Repex_Analysis!$B15)*ESL_1!K$7:K$37)</f>
        <v>0</v>
      </c>
      <c r="E15" s="56">
        <f>SUMPRODUCT((Stations!$I$7:$I$38=Repex_Analysis!$B15)*Stations!L$7:L$38)+SUMPRODUCT((Lines!$I$7:$I$37=Repex_Analysis!$B15)*Lines!L$7:L$37)+SUMPRODUCT((ESL_1!$I$7:$I$37=Repex_Analysis!$B15)*ESL_1!L$7:L$37)</f>
        <v>0</v>
      </c>
      <c r="F15" s="523"/>
      <c r="G15" s="523"/>
      <c r="H15" s="523"/>
      <c r="I15" s="523"/>
      <c r="J15" s="523"/>
      <c r="L15" s="56">
        <f>SUMIFS(Lines!J$7:J$37,Lines!$C$7:$C$37,"=*ABC*")+SUMIFS(ESL_1!J$7:J$37,ESL_1!$C$7:$C$37,"=*ABC*")+SUM(ESL_1!J26:J28)</f>
        <v>0</v>
      </c>
      <c r="M15" s="56">
        <f>SUMIFS(Lines!K$7:K$37,Lines!$C$7:$C$37,"=*ABC*")+SUMIFS(ESL_1!K$7:K$37,ESL_1!$C$7:$C$37,"=*ABC*")+SUM(ESL_1!K26:K28)</f>
        <v>0</v>
      </c>
      <c r="N15" s="56">
        <f>SUMIFS(Lines!L$7:L$37,Lines!$C$7:$C$37,"=*ABC*")+SUMIFS(ESL_1!L$7:L$37,ESL_1!$C$7:$C$37,"=*ABC*")+SUM(ESL_1!L26:L28)</f>
        <v>0</v>
      </c>
      <c r="O15" s="523"/>
      <c r="P15" s="523"/>
      <c r="Q15" s="523"/>
      <c r="R15" s="523"/>
      <c r="S15" s="523"/>
    </row>
    <row r="16" spans="2:19" x14ac:dyDescent="0.3">
      <c r="B16" t="s">
        <v>187</v>
      </c>
      <c r="C16" s="125">
        <f>SUMPRODUCT((Stations!$I$7:$I$38=Repex_Analysis!$B16)*Stations!J$7:J$38)+SUMPRODUCT((Lines!$I$7:$I$37=Repex_Analysis!$B16)*Lines!J$7:J$37)+SUMPRODUCT((ESL_1!$I$7:$I$37=Repex_Analysis!$B16)*ESL_1!J$7:J$37)</f>
        <v>0</v>
      </c>
      <c r="D16" s="125">
        <f>SUMPRODUCT((Stations!$I$7:$I$38=Repex_Analysis!$B16)*Stations!K$7:K$38)+SUMPRODUCT((Lines!$I$7:$I$37=Repex_Analysis!$B16)*Lines!K$7:K$37)+SUMPRODUCT((ESL_1!$I$7:$I$37=Repex_Analysis!$B16)*ESL_1!K$7:K$37)</f>
        <v>0</v>
      </c>
      <c r="E16" s="125">
        <f>SUMPRODUCT((Stations!$I$7:$I$38=Repex_Analysis!$B16)*Stations!L$7:L$38)+SUMPRODUCT((Lines!$I$7:$I$37=Repex_Analysis!$B16)*Lines!L$7:L$37)+SUMPRODUCT((ESL_1!$I$7:$I$37=Repex_Analysis!$B16)*ESL_1!L$7:L$37)</f>
        <v>0</v>
      </c>
      <c r="F16" s="523"/>
      <c r="G16" s="523"/>
      <c r="H16" s="523"/>
      <c r="I16" s="523"/>
      <c r="J16" s="523"/>
      <c r="L16" s="125"/>
      <c r="M16" s="125"/>
      <c r="N16" s="125"/>
      <c r="O16" s="125"/>
      <c r="P16" s="125"/>
      <c r="Q16" s="125"/>
      <c r="R16" s="125"/>
    </row>
    <row r="17" spans="2:11" x14ac:dyDescent="0.3">
      <c r="B17" t="s">
        <v>198</v>
      </c>
      <c r="C17" s="125">
        <f>SUMPRODUCT((Stations!$I$7:$I$38=Repex_Analysis!$B17)*Stations!J$7:J$38)+SUMPRODUCT((Lines!$I$7:$I$37=Repex_Analysis!$B17)*Lines!J$7:J$37)+SUMPRODUCT((ESL_1!$I$7:$I$37=Repex_Analysis!$B17)*ESL_1!J$7:J$37)</f>
        <v>0</v>
      </c>
      <c r="D17" s="125">
        <f>SUMPRODUCT((Stations!$I$7:$I$38=Repex_Analysis!$B17)*Stations!K$7:K$38)+SUMPRODUCT((Lines!$I$7:$I$37=Repex_Analysis!$B17)*Lines!K$7:K$37)+SUMPRODUCT((ESL_1!$I$7:$I$37=Repex_Analysis!$B17)*ESL_1!K$7:K$37)</f>
        <v>0</v>
      </c>
      <c r="E17" s="125">
        <f>SUMPRODUCT((Stations!$I$7:$I$38=Repex_Analysis!$B17)*Stations!L$7:L$38)+SUMPRODUCT((Lines!$I$7:$I$37=Repex_Analysis!$B17)*Lines!L$7:L$37)+SUMPRODUCT((ESL_1!$I$7:$I$37=Repex_Analysis!$B17)*ESL_1!L$7:L$37)</f>
        <v>0</v>
      </c>
      <c r="F17" s="523"/>
      <c r="G17" s="523"/>
      <c r="H17" s="523"/>
      <c r="I17" s="523"/>
      <c r="J17" s="523"/>
    </row>
    <row r="18" spans="2:11" x14ac:dyDescent="0.3">
      <c r="B18" t="s">
        <v>199</v>
      </c>
      <c r="C18" s="125">
        <f>SUMPRODUCT((Stations!$I$7:$I$38=Repex_Analysis!$B18)*Stations!J$7:J$38)+SUMPRODUCT((Lines!$I$7:$I$37=Repex_Analysis!$B18)*Lines!J$7:J$37)+SUMPRODUCT((ESL_1!$I$7:$I$37=Repex_Analysis!$B18)*ESL_1!J$7:J$37)</f>
        <v>0</v>
      </c>
      <c r="D18" s="125">
        <f>SUMPRODUCT((Stations!$I$7:$I$38=Repex_Analysis!$B18)*Stations!K$7:K$38)+SUMPRODUCT((Lines!$I$7:$I$37=Repex_Analysis!$B18)*Lines!K$7:K$37)+SUMPRODUCT((ESL_1!$I$7:$I$37=Repex_Analysis!$B18)*ESL_1!K$7:K$37)</f>
        <v>0</v>
      </c>
      <c r="E18" s="125">
        <f>SUMPRODUCT((Stations!$I$7:$I$38=Repex_Analysis!$B18)*Stations!L$7:L$38)+SUMPRODUCT((Lines!$I$7:$I$37=Repex_Analysis!$B18)*Lines!L$7:L$37)+SUMPRODUCT((ESL_1!$I$7:$I$37=Repex_Analysis!$B18)*ESL_1!L$7:L$37)</f>
        <v>0</v>
      </c>
      <c r="F18" s="523"/>
      <c r="G18" s="523"/>
      <c r="H18" s="523"/>
      <c r="I18" s="523"/>
      <c r="J18" s="523"/>
    </row>
    <row r="19" spans="2:11" x14ac:dyDescent="0.3">
      <c r="B19" t="s">
        <v>249</v>
      </c>
      <c r="C19" s="125">
        <f>SUMPRODUCT((Stations!$I$7:$I$38=Repex_Analysis!$B19)*Stations!J$7:J$38)+SUMPRODUCT((Lines!$I$7:$I$37=Repex_Analysis!$B19)*Lines!J$7:J$37)+SUMPRODUCT((ESL_1!$I$7:$I$37=Repex_Analysis!$B19)*ESL_1!J$7:J$37)</f>
        <v>0</v>
      </c>
      <c r="D19" s="125">
        <f>SUMPRODUCT((Stations!$I$7:$I$38=Repex_Analysis!$B19)*Stations!K$7:K$38)+SUMPRODUCT((Lines!$I$7:$I$37=Repex_Analysis!$B19)*Lines!K$7:K$37)+SUMPRODUCT((ESL_1!$I$7:$I$37=Repex_Analysis!$B19)*ESL_1!K$7:K$37)</f>
        <v>0</v>
      </c>
      <c r="E19" s="125">
        <f>SUMPRODUCT((Stations!$I$7:$I$38=Repex_Analysis!$B19)*Stations!L$7:L$38)+SUMPRODUCT((Lines!$I$7:$I$37=Repex_Analysis!$B19)*Lines!L$7:L$37)+SUMPRODUCT((ESL_1!$I$7:$I$37=Repex_Analysis!$B19)*ESL_1!L$7:L$37)</f>
        <v>0</v>
      </c>
      <c r="F19" s="523"/>
      <c r="G19" s="523"/>
      <c r="H19" s="523"/>
      <c r="I19" s="523"/>
      <c r="J19" s="523"/>
    </row>
    <row r="20" spans="2:11" x14ac:dyDescent="0.3">
      <c r="B20" s="130" t="s">
        <v>200</v>
      </c>
      <c r="C20" s="221">
        <f>SUMPRODUCT((Stations!$I$7:$I$38=Repex_Analysis!$B20)*Stations!J$7:J$38)+SUMPRODUCT((Lines!$I$7:$I$37=Repex_Analysis!$B20)*Lines!J$7:J$37)+SUMPRODUCT((ESL_1!$I$7:$I$37=Repex_Analysis!$B20)*ESL_1!J$7:J$37)</f>
        <v>0</v>
      </c>
      <c r="D20" s="221">
        <f>SUMPRODUCT((Stations!$I$7:$I$38=Repex_Analysis!$B20)*Stations!K$7:K$38)+SUMPRODUCT((Lines!$I$7:$I$37=Repex_Analysis!$B20)*Lines!K$7:K$37)+SUMPRODUCT((ESL_1!$I$7:$I$37=Repex_Analysis!$B20)*ESL_1!K$7:K$37)</f>
        <v>0</v>
      </c>
      <c r="E20" s="221">
        <f>SUMPRODUCT((Stations!$I$7:$I$38=Repex_Analysis!$B20)*Stations!L$7:L$38)+SUMPRODUCT((Lines!$I$7:$I$37=Repex_Analysis!$B20)*Lines!L$7:L$37)+SUMPRODUCT((ESL_1!$I$7:$I$37=Repex_Analysis!$B20)*ESL_1!L$7:L$37)</f>
        <v>0</v>
      </c>
      <c r="F20" s="523"/>
      <c r="G20" s="523"/>
      <c r="H20" s="523"/>
      <c r="I20" s="523"/>
      <c r="J20" s="523"/>
      <c r="K20" s="126"/>
    </row>
    <row r="21" spans="2:11" x14ac:dyDescent="0.3">
      <c r="B21" s="130" t="s">
        <v>201</v>
      </c>
      <c r="C21" s="221">
        <f>SUMPRODUCT((Stations!$I$7:$I$38=Repex_Analysis!$B21)*Stations!J$7:J$38)+SUMPRODUCT((Lines!$I$7:$I$37=Repex_Analysis!$B21)*Lines!J$7:J$37)+SUMPRODUCT((ESL_1!$I$7:$I$37=Repex_Analysis!$B21)*ESL_1!J$7:J$37)</f>
        <v>0</v>
      </c>
      <c r="D21" s="221">
        <f>SUMPRODUCT((Stations!$I$7:$I$38=Repex_Analysis!$B21)*Stations!K$7:K$38)+SUMPRODUCT((Lines!$I$7:$I$37=Repex_Analysis!$B21)*Lines!K$7:K$37)+SUMPRODUCT((ESL_1!$I$7:$I$37=Repex_Analysis!$B21)*ESL_1!K$7:K$37)</f>
        <v>0</v>
      </c>
      <c r="E21" s="221">
        <f>SUMPRODUCT((Stations!$I$7:$I$38=Repex_Analysis!$B21)*Stations!L$7:L$38)+SUMPRODUCT((Lines!$I$7:$I$37=Repex_Analysis!$B21)*Lines!L$7:L$37)+SUMPRODUCT((ESL_1!$I$7:$I$37=Repex_Analysis!$B21)*ESL_1!L$7:L$37)</f>
        <v>0</v>
      </c>
      <c r="F21" s="523"/>
      <c r="G21" s="523"/>
      <c r="H21" s="523"/>
      <c r="I21" s="523"/>
      <c r="J21" s="523"/>
      <c r="K21" s="126"/>
    </row>
    <row r="22" spans="2:11" x14ac:dyDescent="0.3">
      <c r="B22" t="s">
        <v>202</v>
      </c>
      <c r="C22" s="125">
        <f>SUMPRODUCT((Stations!$I$7:$I$38=Repex_Analysis!$B22)*Stations!J$7:J$38)+SUMPRODUCT((Lines!$I$7:$I$37=Repex_Analysis!$B22)*Lines!J$7:J$37)+SUMPRODUCT((ESL_1!$I$7:$I$37=Repex_Analysis!$B22)*ESL_1!J$7:J$37)</f>
        <v>0</v>
      </c>
      <c r="D22" s="125">
        <f>SUMPRODUCT((Stations!$I$7:$I$38=Repex_Analysis!$B22)*Stations!K$7:K$38)+SUMPRODUCT((Lines!$I$7:$I$37=Repex_Analysis!$B22)*Lines!K$7:K$37)+SUMPRODUCT((ESL_1!$I$7:$I$37=Repex_Analysis!$B22)*ESL_1!K$7:K$37)</f>
        <v>0</v>
      </c>
      <c r="E22" s="125">
        <f>SUMPRODUCT((Stations!$I$7:$I$38=Repex_Analysis!$B22)*Stations!L$7:L$38)+SUMPRODUCT((Lines!$I$7:$I$37=Repex_Analysis!$B22)*Lines!L$7:L$37)+SUMPRODUCT((ESL_1!$I$7:$I$37=Repex_Analysis!$B22)*ESL_1!L$7:L$37)</f>
        <v>0</v>
      </c>
      <c r="F22" s="523"/>
      <c r="G22" s="523"/>
      <c r="H22" s="523"/>
      <c r="I22" s="523"/>
      <c r="J22" s="523"/>
    </row>
    <row r="23" spans="2:11" x14ac:dyDescent="0.3">
      <c r="B23" t="s">
        <v>203</v>
      </c>
      <c r="C23" s="125">
        <f>SUMPRODUCT((Stations!$I$7:$I$38=Repex_Analysis!$B23)*Stations!J$7:J$38)+SUMPRODUCT((Lines!$I$7:$I$37=Repex_Analysis!$B23)*Lines!J$7:J$37)+SUMPRODUCT((ESL_1!$I$7:$I$37=Repex_Analysis!$B23)*ESL_1!J$7:J$37)</f>
        <v>0</v>
      </c>
      <c r="D23" s="125">
        <f>SUMPRODUCT((Stations!$I$7:$I$38=Repex_Analysis!$B23)*Stations!K$7:K$38)+SUMPRODUCT((Lines!$I$7:$I$37=Repex_Analysis!$B23)*Lines!K$7:K$37)+SUMPRODUCT((ESL_1!$I$7:$I$37=Repex_Analysis!$B23)*ESL_1!K$7:K$37)</f>
        <v>0</v>
      </c>
      <c r="E23" s="125">
        <f>SUMPRODUCT((Stations!$I$7:$I$38=Repex_Analysis!$B23)*Stations!L$7:L$38)+SUMPRODUCT((Lines!$I$7:$I$37=Repex_Analysis!$B23)*Lines!L$7:L$37)+SUMPRODUCT((ESL_1!$I$7:$I$37=Repex_Analysis!$B23)*ESL_1!L$7:L$37)</f>
        <v>0</v>
      </c>
      <c r="F23" s="523"/>
      <c r="G23" s="523"/>
      <c r="H23" s="523"/>
      <c r="I23" s="523"/>
      <c r="J23" s="523"/>
      <c r="K23" t="s">
        <v>678</v>
      </c>
    </row>
    <row r="24" spans="2:11" x14ac:dyDescent="0.3">
      <c r="B24" t="s">
        <v>186</v>
      </c>
      <c r="C24" s="125">
        <f>SUMPRODUCT((Stations!$I$7:$I$38=Repex_Analysis!$B24)*Stations!J$7:J$38)+SUMPRODUCT((Lines!$I$7:$I$37=Repex_Analysis!$B24)*Lines!J$7:J$37)+SUMPRODUCT((ESL_1!$I$7:$I$37=Repex_Analysis!$B24)*ESL_1!J$7:J$37)</f>
        <v>0</v>
      </c>
      <c r="D24" s="125">
        <f>SUMPRODUCT((Stations!$I$7:$I$38=Repex_Analysis!$B24)*Stations!K$7:K$38)+SUMPRODUCT((Lines!$I$7:$I$37=Repex_Analysis!$B24)*Lines!K$7:K$37)+SUMPRODUCT((ESL_1!$I$7:$I$37=Repex_Analysis!$B24)*ESL_1!K$7:K$37)</f>
        <v>0</v>
      </c>
      <c r="E24" s="125">
        <f>SUMPRODUCT((Stations!$I$7:$I$38=Repex_Analysis!$B24)*Stations!L$7:L$38)+SUMPRODUCT((Lines!$I$7:$I$37=Repex_Analysis!$B24)*Lines!L$7:L$37)+SUMPRODUCT((ESL_1!$I$7:$I$37=Repex_Analysis!$B24)*ESL_1!L$7:L$37)</f>
        <v>0</v>
      </c>
      <c r="F24" s="523"/>
      <c r="G24" s="523"/>
      <c r="H24" s="523"/>
      <c r="I24" s="523"/>
      <c r="J24" s="523"/>
    </row>
    <row r="25" spans="2:11" x14ac:dyDescent="0.3">
      <c r="B25" t="s">
        <v>247</v>
      </c>
      <c r="C25" s="125">
        <f>SUMPRODUCT((Stations!$I$7:$I$38=Repex_Analysis!$B25)*Stations!J$7:J$38)+SUMPRODUCT((Lines!$I$7:$I$37=Repex_Analysis!$B25)*Lines!J$7:J$37)+SUMPRODUCT((ESL_1!$I$7:$I$37=Repex_Analysis!$B25)*ESL_1!J$7:J$37)</f>
        <v>0</v>
      </c>
      <c r="D25" s="125">
        <f>SUMPRODUCT((Stations!$I$7:$I$38=Repex_Analysis!$B25)*Stations!K$7:K$38)+SUMPRODUCT((Lines!$I$7:$I$37=Repex_Analysis!$B25)*Lines!K$7:K$37)+SUMPRODUCT((ESL_1!$I$7:$I$37=Repex_Analysis!$B25)*ESL_1!K$7:K$37)</f>
        <v>0</v>
      </c>
      <c r="E25" s="125">
        <f>SUMPRODUCT((Stations!$I$7:$I$38=Repex_Analysis!$B25)*Stations!L$7:L$38)+SUMPRODUCT((Lines!$I$7:$I$37=Repex_Analysis!$B25)*Lines!L$7:L$37)+SUMPRODUCT((ESL_1!$I$7:$I$37=Repex_Analysis!$B25)*ESL_1!L$7:L$37)</f>
        <v>0</v>
      </c>
      <c r="F25" s="523"/>
      <c r="G25" s="523"/>
      <c r="H25" s="523"/>
      <c r="I25" s="523"/>
      <c r="J25" s="523"/>
    </row>
    <row r="26" spans="2:11" x14ac:dyDescent="0.3">
      <c r="B26" t="s">
        <v>242</v>
      </c>
      <c r="C26" s="125">
        <f>SUMPRODUCT((Stations!$I$7:$I$38=Repex_Analysis!$B26)*Stations!J$7:J$38)+SUMPRODUCT((Lines!$I$7:$I$37=Repex_Analysis!$B26)*Lines!J$7:J$37)+SUMPRODUCT((ESL_1!$I$7:$I$37=Repex_Analysis!$B26)*ESL_1!J$7:J$37)</f>
        <v>0</v>
      </c>
      <c r="D26" s="125">
        <f>SUMPRODUCT((Stations!$I$7:$I$38=Repex_Analysis!$B26)*Stations!K$7:K$38)+SUMPRODUCT((Lines!$I$7:$I$37=Repex_Analysis!$B26)*Lines!K$7:K$37)+SUMPRODUCT((ESL_1!$I$7:$I$37=Repex_Analysis!$B26)*ESL_1!K$7:K$37)</f>
        <v>0</v>
      </c>
      <c r="E26" s="125">
        <f>SUMPRODUCT((Stations!$I$7:$I$38=Repex_Analysis!$B26)*Stations!L$7:L$38)+SUMPRODUCT((Lines!$I$7:$I$37=Repex_Analysis!$B26)*Lines!L$7:L$37)+SUMPRODUCT((ESL_1!$I$7:$I$37=Repex_Analysis!$B26)*ESL_1!L$7:L$37)</f>
        <v>0</v>
      </c>
      <c r="F26" s="523"/>
      <c r="G26" s="523"/>
      <c r="H26" s="523"/>
      <c r="I26" s="523"/>
      <c r="J26" s="523"/>
    </row>
    <row r="27" spans="2:11" x14ac:dyDescent="0.3">
      <c r="B27" t="s">
        <v>243</v>
      </c>
      <c r="C27" s="125">
        <f>SUMPRODUCT((Stations!$I$7:$I$38=Repex_Analysis!$B27)*Stations!J$7:J$38)+SUMPRODUCT((Lines!$I$7:$I$37=Repex_Analysis!$B27)*Lines!J$7:J$37)+SUMPRODUCT((ESL_1!$I$7:$I$37=Repex_Analysis!$B27)*ESL_1!J$7:J$37)</f>
        <v>0</v>
      </c>
      <c r="D27" s="125">
        <f>SUMPRODUCT((Stations!$I$7:$I$38=Repex_Analysis!$B27)*Stations!K$7:K$38)+SUMPRODUCT((Lines!$I$7:$I$37=Repex_Analysis!$B27)*Lines!K$7:K$37)+SUMPRODUCT((ESL_1!$I$7:$I$37=Repex_Analysis!$B27)*ESL_1!K$7:K$37)</f>
        <v>0</v>
      </c>
      <c r="E27" s="125">
        <f>SUMPRODUCT((Stations!$I$7:$I$38=Repex_Analysis!$B27)*Stations!L$7:L$38)+SUMPRODUCT((Lines!$I$7:$I$37=Repex_Analysis!$B27)*Lines!L$7:L$37)+SUMPRODUCT((ESL_1!$I$7:$I$37=Repex_Analysis!$B27)*ESL_1!L$7:L$37)</f>
        <v>0</v>
      </c>
      <c r="F27" s="523"/>
      <c r="G27" s="523"/>
      <c r="H27" s="523"/>
      <c r="I27" s="523"/>
      <c r="J27" s="523"/>
    </row>
    <row r="28" spans="2:11" x14ac:dyDescent="0.3">
      <c r="B28" t="s">
        <v>204</v>
      </c>
      <c r="C28" s="125">
        <f>SUMPRODUCT((Stations!$I$7:$I$38=Repex_Analysis!$B28)*Stations!J$7:J$38)+SUMPRODUCT((Lines!$I$7:$I$37=Repex_Analysis!$B28)*Lines!J$7:J$37)+SUMPRODUCT((ESL_1!$I$7:$I$37=Repex_Analysis!$B28)*ESL_1!J$7:J$37)</f>
        <v>0</v>
      </c>
      <c r="D28" s="125">
        <f>SUMPRODUCT((Stations!$I$7:$I$38=Repex_Analysis!$B28)*Stations!K$7:K$38)+SUMPRODUCT((Lines!$I$7:$I$37=Repex_Analysis!$B28)*Lines!K$7:K$37)+SUMPRODUCT((ESL_1!$I$7:$I$37=Repex_Analysis!$B28)*ESL_1!K$7:K$37)</f>
        <v>0</v>
      </c>
      <c r="E28" s="125">
        <f>SUMPRODUCT((Stations!$I$7:$I$38=Repex_Analysis!$B28)*Stations!L$7:L$38)+SUMPRODUCT((Lines!$I$7:$I$37=Repex_Analysis!$B28)*Lines!L$7:L$37)+SUMPRODUCT((ESL_1!$I$7:$I$37=Repex_Analysis!$B28)*ESL_1!L$7:L$37)</f>
        <v>0</v>
      </c>
      <c r="F28" s="523"/>
      <c r="G28" s="523"/>
      <c r="H28" s="523"/>
      <c r="I28" s="523"/>
      <c r="J28" s="523"/>
    </row>
    <row r="29" spans="2:11" x14ac:dyDescent="0.3">
      <c r="B29" t="s">
        <v>271</v>
      </c>
      <c r="C29" s="125">
        <f>SUMPRODUCT((Stations!$I$7:$I$38=Repex_Analysis!$B29)*Stations!J$7:J$38)+SUMPRODUCT((Lines!$I$7:$I$37=Repex_Analysis!$B29)*Lines!J$7:J$37)+SUMPRODUCT((ESL_1!$I$7:$I$37=Repex_Analysis!$B29)*ESL_1!J$7:J$37)</f>
        <v>0</v>
      </c>
      <c r="D29" s="125">
        <f>SUMPRODUCT((Stations!$I$7:$I$38=Repex_Analysis!$B29)*Stations!K$7:K$38)+SUMPRODUCT((Lines!$I$7:$I$37=Repex_Analysis!$B29)*Lines!K$7:K$37)+SUMPRODUCT((ESL_1!$I$7:$I$37=Repex_Analysis!$B29)*ESL_1!K$7:K$37)</f>
        <v>0</v>
      </c>
      <c r="E29" s="125">
        <f>SUMPRODUCT((Stations!$I$7:$I$38=Repex_Analysis!$B29)*Stations!L$7:L$38)+SUMPRODUCT((Lines!$I$7:$I$37=Repex_Analysis!$B29)*Lines!L$7:L$37)+SUMPRODUCT((ESL_1!$I$7:$I$37=Repex_Analysis!$B29)*ESL_1!L$7:L$37)</f>
        <v>0</v>
      </c>
      <c r="F29" s="523"/>
      <c r="G29" s="523"/>
      <c r="H29" s="523"/>
      <c r="I29" s="523"/>
      <c r="J29" s="523"/>
    </row>
    <row r="30" spans="2:11" x14ac:dyDescent="0.3">
      <c r="B30" t="s">
        <v>239</v>
      </c>
      <c r="C30" s="125">
        <f>SUMPRODUCT((Stations!$I$7:$I$38=Repex_Analysis!$B30)*Stations!J$7:J$38)+SUMPRODUCT((Lines!$I$7:$I$37=Repex_Analysis!$B30)*Lines!J$7:J$37)+SUMPRODUCT((ESL_1!$I$7:$I$37=Repex_Analysis!$B30)*ESL_1!J$7:J$37)</f>
        <v>0</v>
      </c>
      <c r="D30" s="125">
        <f>SUMPRODUCT((Stations!$I$7:$I$38=Repex_Analysis!$B30)*Stations!K$7:K$38)+SUMPRODUCT((Lines!$I$7:$I$37=Repex_Analysis!$B30)*Lines!K$7:K$37)+SUMPRODUCT((ESL_1!$I$7:$I$37=Repex_Analysis!$B30)*ESL_1!K$7:K$37)</f>
        <v>0</v>
      </c>
      <c r="E30" s="125">
        <f>SUMPRODUCT((Stations!$I$7:$I$38=Repex_Analysis!$B30)*Stations!L$7:L$38)+SUMPRODUCT((Lines!$I$7:$I$37=Repex_Analysis!$B30)*Lines!L$7:L$37)+SUMPRODUCT((ESL_1!$I$7:$I$37=Repex_Analysis!$B30)*ESL_1!L$7:L$37)</f>
        <v>0</v>
      </c>
      <c r="F30" s="523"/>
      <c r="G30" s="523"/>
      <c r="H30" s="523"/>
      <c r="I30" s="523"/>
      <c r="J30" s="523"/>
    </row>
    <row r="31" spans="2:11" x14ac:dyDescent="0.3">
      <c r="B31" t="s">
        <v>240</v>
      </c>
      <c r="C31" s="125">
        <f>SUMPRODUCT((Stations!$I$7:$I$38=Repex_Analysis!$B31)*Stations!J$7:J$38)+SUMPRODUCT((Lines!$I$7:$I$37=Repex_Analysis!$B31)*Lines!J$7:J$37)+SUMPRODUCT((ESL_1!$I$7:$I$37=Repex_Analysis!$B31)*ESL_1!J$7:J$37)</f>
        <v>0</v>
      </c>
      <c r="D31" s="125">
        <f>SUMPRODUCT((Stations!$I$7:$I$38=Repex_Analysis!$B31)*Stations!K$7:K$38)+SUMPRODUCT((Lines!$I$7:$I$37=Repex_Analysis!$B31)*Lines!K$7:K$37)+SUMPRODUCT((ESL_1!$I$7:$I$37=Repex_Analysis!$B31)*ESL_1!K$7:K$37)</f>
        <v>0</v>
      </c>
      <c r="E31" s="125">
        <f>SUMPRODUCT((Stations!$I$7:$I$38=Repex_Analysis!$B31)*Stations!L$7:L$38)+SUMPRODUCT((Lines!$I$7:$I$37=Repex_Analysis!$B31)*Lines!L$7:L$37)+SUMPRODUCT((ESL_1!$I$7:$I$37=Repex_Analysis!$B31)*ESL_1!L$7:L$37)</f>
        <v>0</v>
      </c>
      <c r="F31" s="523"/>
      <c r="G31" s="523"/>
      <c r="H31" s="523"/>
      <c r="I31" s="523"/>
      <c r="J31" s="523"/>
    </row>
    <row r="32" spans="2:11" x14ac:dyDescent="0.3">
      <c r="B32" t="s">
        <v>244</v>
      </c>
      <c r="C32" s="125">
        <f>SUMPRODUCT((Stations!$I$7:$I$38=Repex_Analysis!$B32)*Stations!J$7:J$38)+SUMPRODUCT((Lines!$I$7:$I$37=Repex_Analysis!$B32)*Lines!J$7:J$37)+SUMPRODUCT((ESL_1!$I$7:$I$37=Repex_Analysis!$B32)*ESL_1!J$7:J$37)</f>
        <v>0</v>
      </c>
      <c r="D32" s="125">
        <f>SUMPRODUCT((Stations!$I$7:$I$38=Repex_Analysis!$B32)*Stations!K$7:K$38)+SUMPRODUCT((Lines!$I$7:$I$37=Repex_Analysis!$B32)*Lines!K$7:K$37)+SUMPRODUCT((ESL_1!$I$7:$I$37=Repex_Analysis!$B32)*ESL_1!K$7:K$37)</f>
        <v>0</v>
      </c>
      <c r="E32" s="125">
        <f>SUMPRODUCT((Stations!$I$7:$I$38=Repex_Analysis!$B32)*Stations!L$7:L$38)+SUMPRODUCT((Lines!$I$7:$I$37=Repex_Analysis!$B32)*Lines!L$7:L$37)+SUMPRODUCT((ESL_1!$I$7:$I$37=Repex_Analysis!$B32)*ESL_1!L$7:L$37)</f>
        <v>0</v>
      </c>
      <c r="F32" s="523"/>
      <c r="G32" s="523"/>
      <c r="H32" s="523"/>
      <c r="I32" s="523"/>
      <c r="J32" s="523"/>
    </row>
    <row r="33" spans="2:10" x14ac:dyDescent="0.3">
      <c r="B33" t="s">
        <v>245</v>
      </c>
      <c r="C33" s="125">
        <f>SUMPRODUCT((Stations!$I$7:$I$38=Repex_Analysis!$B33)*Stations!J$7:J$38)+SUMPRODUCT((Lines!$I$7:$I$37=Repex_Analysis!$B33)*Lines!J$7:J$37)+SUMPRODUCT((ESL_1!$I$7:$I$37=Repex_Analysis!$B33)*ESL_1!J$7:J$37)</f>
        <v>0</v>
      </c>
      <c r="D33" s="125">
        <f>SUMPRODUCT((Stations!$I$7:$I$38=Repex_Analysis!$B33)*Stations!K$7:K$38)+SUMPRODUCT((Lines!$I$7:$I$37=Repex_Analysis!$B33)*Lines!K$7:K$37)+SUMPRODUCT((ESL_1!$I$7:$I$37=Repex_Analysis!$B33)*ESL_1!K$7:K$37)</f>
        <v>0</v>
      </c>
      <c r="E33" s="125">
        <f>SUMPRODUCT((Stations!$I$7:$I$38=Repex_Analysis!$B33)*Stations!L$7:L$38)+SUMPRODUCT((Lines!$I$7:$I$37=Repex_Analysis!$B33)*Lines!L$7:L$37)+SUMPRODUCT((ESL_1!$I$7:$I$37=Repex_Analysis!$B33)*ESL_1!L$7:L$37)</f>
        <v>0</v>
      </c>
      <c r="F33" s="523"/>
      <c r="G33" s="523"/>
      <c r="H33" s="523"/>
      <c r="I33" s="523"/>
      <c r="J33" s="523"/>
    </row>
    <row r="34" spans="2:10" x14ac:dyDescent="0.3">
      <c r="B34" t="s">
        <v>209</v>
      </c>
      <c r="C34" s="125">
        <f>SUMPRODUCT((Stations!$I$7:$I$38=Repex_Analysis!$B34)*Stations!J$7:J$38)+SUMPRODUCT((Lines!$I$7:$I$37=Repex_Analysis!$B34)*Lines!J$7:J$37)+SUMPRODUCT((ESL_1!$I$7:$I$37=Repex_Analysis!$B34)*ESL_1!J$7:J$37)</f>
        <v>0</v>
      </c>
      <c r="D34" s="125">
        <f>SUMPRODUCT((Stations!$I$7:$I$38=Repex_Analysis!$B34)*Stations!K$7:K$38)+SUMPRODUCT((Lines!$I$7:$I$37=Repex_Analysis!$B34)*Lines!K$7:K$37)+SUMPRODUCT((ESL_1!$I$7:$I$37=Repex_Analysis!$B34)*ESL_1!K$7:K$37)</f>
        <v>0</v>
      </c>
      <c r="E34" s="125">
        <f>SUMPRODUCT((Stations!$I$7:$I$38=Repex_Analysis!$B34)*Stations!L$7:L$38)+SUMPRODUCT((Lines!$I$7:$I$37=Repex_Analysis!$B34)*Lines!L$7:L$37)+SUMPRODUCT((ESL_1!$I$7:$I$37=Repex_Analysis!$B34)*ESL_1!L$7:L$37)</f>
        <v>0</v>
      </c>
      <c r="F34" s="523"/>
      <c r="G34" s="523"/>
      <c r="H34" s="523"/>
      <c r="I34" s="523"/>
      <c r="J34" s="523"/>
    </row>
    <row r="35" spans="2:10" x14ac:dyDescent="0.3">
      <c r="B35" t="s">
        <v>246</v>
      </c>
      <c r="C35" s="125">
        <f>SUMPRODUCT((Stations!$I$7:$I$38=Repex_Analysis!$B35)*Stations!J$7:J$38)+SUMPRODUCT((Lines!$I$7:$I$37=Repex_Analysis!$B35)*Lines!J$7:J$37)+SUMPRODUCT((ESL_1!$I$7:$I$37=Repex_Analysis!$B35)*ESL_1!J$7:J$37)</f>
        <v>0</v>
      </c>
      <c r="D35" s="125">
        <f>SUMPRODUCT((Stations!$I$7:$I$38=Repex_Analysis!$B35)*Stations!K$7:K$38)+SUMPRODUCT((Lines!$I$7:$I$37=Repex_Analysis!$B35)*Lines!K$7:K$37)+SUMPRODUCT((ESL_1!$I$7:$I$37=Repex_Analysis!$B35)*ESL_1!K$7:K$37)</f>
        <v>0</v>
      </c>
      <c r="E35" s="125">
        <f>SUMPRODUCT((Stations!$I$7:$I$38=Repex_Analysis!$B35)*Stations!L$7:L$38)+SUMPRODUCT((Lines!$I$7:$I$37=Repex_Analysis!$B35)*Lines!L$7:L$37)+SUMPRODUCT((ESL_1!$I$7:$I$37=Repex_Analysis!$B35)*ESL_1!L$7:L$37)</f>
        <v>0</v>
      </c>
      <c r="F35" s="523"/>
      <c r="G35" s="523"/>
      <c r="H35" s="523"/>
      <c r="I35" s="523"/>
      <c r="J35" s="523"/>
    </row>
    <row r="36" spans="2:10" x14ac:dyDescent="0.3">
      <c r="B36" t="s">
        <v>248</v>
      </c>
      <c r="C36" s="125">
        <f>SUMPRODUCT((Stations!$I$7:$I$38=Repex_Analysis!$B36)*Stations!J$7:J$38)+SUMPRODUCT((Lines!$I$7:$I$37=Repex_Analysis!$B36)*Lines!J$7:J$37)+SUMPRODUCT((ESL_1!$I$7:$I$37=Repex_Analysis!$B36)*ESL_1!J$7:J$37)</f>
        <v>0</v>
      </c>
      <c r="D36" s="125">
        <f>SUMPRODUCT((Stations!$I$7:$I$38=Repex_Analysis!$B36)*Stations!K$7:K$38)+SUMPRODUCT((Lines!$I$7:$I$37=Repex_Analysis!$B36)*Lines!K$7:K$37)+SUMPRODUCT((ESL_1!$I$7:$I$37=Repex_Analysis!$B36)*ESL_1!K$7:K$37)</f>
        <v>0</v>
      </c>
      <c r="E36" s="125">
        <f>SUMPRODUCT((Stations!$I$7:$I$38=Repex_Analysis!$B36)*Stations!L$7:L$38)+SUMPRODUCT((Lines!$I$7:$I$37=Repex_Analysis!$B36)*Lines!L$7:L$37)+SUMPRODUCT((ESL_1!$I$7:$I$37=Repex_Analysis!$B36)*ESL_1!L$7:L$37)</f>
        <v>0</v>
      </c>
      <c r="F36" s="523"/>
      <c r="G36" s="523"/>
      <c r="H36" s="523"/>
      <c r="I36" s="523"/>
      <c r="J36" s="523"/>
    </row>
    <row r="37" spans="2:10" x14ac:dyDescent="0.3">
      <c r="B37" t="s">
        <v>238</v>
      </c>
      <c r="C37" s="125">
        <f>SUMPRODUCT((Stations!$I$7:$I$38=Repex_Analysis!$B37)*Stations!J$7:J$38)+SUMPRODUCT((Lines!$I$7:$I$37=Repex_Analysis!$B37)*Lines!J$7:J$37)+SUMPRODUCT((ESL_1!$I$7:$I$37=Repex_Analysis!$B37)*ESL_1!J$7:J$37)</f>
        <v>0</v>
      </c>
      <c r="D37" s="125">
        <f>SUMPRODUCT((Stations!$I$7:$I$38=Repex_Analysis!$B37)*Stations!K$7:K$38)+SUMPRODUCT((Lines!$I$7:$I$37=Repex_Analysis!$B37)*Lines!K$7:K$37)+SUMPRODUCT((ESL_1!$I$7:$I$37=Repex_Analysis!$B37)*ESL_1!K$7:K$37)</f>
        <v>0</v>
      </c>
      <c r="E37" s="125">
        <f>SUMPRODUCT((Stations!$I$7:$I$38=Repex_Analysis!$B37)*Stations!L$7:L$38)+SUMPRODUCT((Lines!$I$7:$I$37=Repex_Analysis!$B37)*Lines!L$7:L$37)+SUMPRODUCT((ESL_1!$I$7:$I$37=Repex_Analysis!$B37)*ESL_1!L$7:L$37)</f>
        <v>0</v>
      </c>
      <c r="F37" s="523"/>
      <c r="G37" s="523"/>
      <c r="H37" s="523"/>
      <c r="I37" s="523"/>
      <c r="J37" s="523"/>
    </row>
    <row r="38" spans="2:10" x14ac:dyDescent="0.3">
      <c r="B38" t="s">
        <v>251</v>
      </c>
      <c r="C38" s="125">
        <f>SUMPRODUCT((Stations!$I$7:$I$38=Repex_Analysis!$B38)*Stations!J$7:J$38)+SUMPRODUCT((Lines!$I$7:$I$37=Repex_Analysis!$B38)*Lines!J$7:J$37)+SUMPRODUCT((ESL_1!$I$7:$I$37=Repex_Analysis!$B38)*ESL_1!J$7:J$37)</f>
        <v>0</v>
      </c>
      <c r="D38" s="125">
        <f>SUMPRODUCT((Stations!$I$7:$I$38=Repex_Analysis!$B38)*Stations!K$7:K$38)+SUMPRODUCT((Lines!$I$7:$I$37=Repex_Analysis!$B38)*Lines!K$7:K$37)+SUMPRODUCT((ESL_1!$I$7:$I$37=Repex_Analysis!$B38)*ESL_1!K$7:K$37)</f>
        <v>0</v>
      </c>
      <c r="E38" s="125">
        <f>SUMPRODUCT((Stations!$I$7:$I$38=Repex_Analysis!$B38)*Stations!L$7:L$38)+SUMPRODUCT((Lines!$I$7:$I$37=Repex_Analysis!$B38)*Lines!L$7:L$37)+SUMPRODUCT((ESL_1!$I$7:$I$37=Repex_Analysis!$B38)*ESL_1!L$7:L$37)</f>
        <v>0</v>
      </c>
      <c r="F38" s="523"/>
      <c r="G38" s="523"/>
      <c r="H38" s="523"/>
      <c r="I38" s="523"/>
      <c r="J38" s="523"/>
    </row>
    <row r="39" spans="2:10" x14ac:dyDescent="0.3">
      <c r="B39" t="s">
        <v>252</v>
      </c>
      <c r="C39" s="125">
        <f>SUMPRODUCT((Stations!$I$7:$I$38=Repex_Analysis!$B39)*Stations!J$7:J$38)+SUMPRODUCT((Lines!$I$7:$I$37=Repex_Analysis!$B39)*Lines!J$7:J$37)+SUMPRODUCT((ESL_1!$I$7:$I$37=Repex_Analysis!$B39)*ESL_1!J$7:J$37)</f>
        <v>0</v>
      </c>
      <c r="D39" s="125">
        <f>SUMPRODUCT((Stations!$I$7:$I$38=Repex_Analysis!$B39)*Stations!K$7:K$38)+SUMPRODUCT((Lines!$I$7:$I$37=Repex_Analysis!$B39)*Lines!K$7:K$37)+SUMPRODUCT((ESL_1!$I$7:$I$37=Repex_Analysis!$B39)*ESL_1!K$7:K$37)</f>
        <v>0</v>
      </c>
      <c r="E39" s="125">
        <f>SUMPRODUCT((Stations!$I$7:$I$38=Repex_Analysis!$B39)*Stations!L$7:L$38)+SUMPRODUCT((Lines!$I$7:$I$37=Repex_Analysis!$B39)*Lines!L$7:L$37)+SUMPRODUCT((ESL_1!$I$7:$I$37=Repex_Analysis!$B39)*ESL_1!L$7:L$37)</f>
        <v>0</v>
      </c>
      <c r="F39" s="523"/>
      <c r="G39" s="523"/>
      <c r="H39" s="523"/>
      <c r="I39" s="523"/>
      <c r="J39" s="523"/>
    </row>
    <row r="40" spans="2:10" x14ac:dyDescent="0.3">
      <c r="B40" t="s">
        <v>5</v>
      </c>
      <c r="C40" s="125">
        <f>SUMPRODUCT((Stations!$I$7:$I$38=Repex_Analysis!$B40)*Stations!J$7:J$38)+SUMPRODUCT((Lines!$I$7:$I$37=Repex_Analysis!$B40)*Lines!J$7:J$37)+SUMPRODUCT((ESL_1!$I$7:$I$37=Repex_Analysis!$B40)*ESL_1!J$7:J$37)</f>
        <v>0</v>
      </c>
      <c r="D40" s="125">
        <f>SUMPRODUCT((Stations!$I$7:$I$38=Repex_Analysis!$B40)*Stations!K$7:K$38)+SUMPRODUCT((Lines!$I$7:$I$37=Repex_Analysis!$B40)*Lines!K$7:K$37)+SUMPRODUCT((ESL_1!$I$7:$I$37=Repex_Analysis!$B40)*ESL_1!K$7:K$37)</f>
        <v>0</v>
      </c>
      <c r="E40" s="125">
        <f>SUMPRODUCT((Stations!$I$7:$I$38=Repex_Analysis!$B40)*Stations!L$7:L$38)+SUMPRODUCT((Lines!$I$7:$I$37=Repex_Analysis!$B40)*Lines!L$7:L$37)+SUMPRODUCT((ESL_1!$I$7:$I$37=Repex_Analysis!$B40)*ESL_1!L$7:L$37)</f>
        <v>0</v>
      </c>
      <c r="F40" s="523"/>
      <c r="G40" s="523"/>
      <c r="H40" s="523"/>
      <c r="I40" s="523"/>
      <c r="J40" s="523"/>
    </row>
  </sheetData>
  <mergeCells count="1">
    <mergeCell ref="G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B1:Z99"/>
  <sheetViews>
    <sheetView zoomScale="85" zoomScaleNormal="85" zoomScalePageLayoutView="125" workbookViewId="0">
      <pane ySplit="2" topLeftCell="A3" activePane="bottomLeft" state="frozen"/>
      <selection pane="bottomLeft"/>
    </sheetView>
  </sheetViews>
  <sheetFormatPr defaultColWidth="8.88671875" defaultRowHeight="14.4" outlineLevelRow="1" x14ac:dyDescent="0.3"/>
  <cols>
    <col min="1" max="1" width="4.44140625" style="1" customWidth="1"/>
    <col min="2" max="2" width="35" style="1" customWidth="1"/>
    <col min="3" max="3" width="40" style="1" customWidth="1"/>
    <col min="4" max="4" width="10.6640625" style="1" customWidth="1"/>
    <col min="5" max="8" width="10.44140625" style="1" customWidth="1"/>
    <col min="9" max="9" width="11" style="1" customWidth="1"/>
    <col min="10" max="10" width="26.6640625" style="1" customWidth="1"/>
    <col min="11" max="14" width="10.88671875" style="1" customWidth="1"/>
    <col min="15" max="15" width="11.33203125" style="1" customWidth="1"/>
    <col min="16" max="16" width="9.6640625" style="1" customWidth="1"/>
    <col min="17" max="17" width="10.33203125" style="1" customWidth="1"/>
    <col min="18" max="18" width="10.109375" style="1" customWidth="1"/>
    <col min="19" max="16384" width="8.88671875" style="1"/>
  </cols>
  <sheetData>
    <row r="1" spans="2:26" ht="21" x14ac:dyDescent="0.4">
      <c r="B1" s="11" t="s">
        <v>168</v>
      </c>
    </row>
    <row r="2" spans="2:26" x14ac:dyDescent="0.3">
      <c r="B2" s="25" t="s">
        <v>6</v>
      </c>
    </row>
    <row r="3" spans="2:26" x14ac:dyDescent="0.3">
      <c r="B3" s="25"/>
      <c r="D3" s="52"/>
    </row>
    <row r="4" spans="2:26" x14ac:dyDescent="0.3">
      <c r="B4" s="2" t="s">
        <v>184</v>
      </c>
      <c r="J4" s="2" t="s">
        <v>599</v>
      </c>
    </row>
    <row r="5" spans="2:26" ht="60" customHeight="1" x14ac:dyDescent="0.3">
      <c r="B5" s="72" t="s">
        <v>178</v>
      </c>
      <c r="C5" s="72" t="s">
        <v>212</v>
      </c>
      <c r="D5" s="73" t="s">
        <v>174</v>
      </c>
      <c r="E5" s="73" t="s">
        <v>173</v>
      </c>
      <c r="F5" s="73" t="s">
        <v>297</v>
      </c>
      <c r="G5" s="73" t="s">
        <v>175</v>
      </c>
      <c r="H5" s="73" t="s">
        <v>146</v>
      </c>
      <c r="J5" s="6" t="s">
        <v>409</v>
      </c>
      <c r="K5" s="329" t="s">
        <v>174</v>
      </c>
      <c r="L5" s="329" t="s">
        <v>173</v>
      </c>
      <c r="M5" s="329" t="s">
        <v>297</v>
      </c>
      <c r="N5" s="329" t="s">
        <v>175</v>
      </c>
      <c r="R5" s="180"/>
      <c r="S5" s="180"/>
      <c r="T5" s="180"/>
      <c r="U5" s="180"/>
      <c r="W5" s="180"/>
      <c r="X5" s="180"/>
      <c r="Y5" s="180"/>
      <c r="Z5" s="180"/>
    </row>
    <row r="6" spans="2:26" ht="28.8" x14ac:dyDescent="0.3">
      <c r="B6" s="59" t="s">
        <v>10</v>
      </c>
      <c r="C6" s="5" t="s">
        <v>152</v>
      </c>
      <c r="D6" s="60">
        <v>0.15489332451817117</v>
      </c>
      <c r="E6" s="60">
        <v>0.30881909755197362</v>
      </c>
      <c r="F6" s="60">
        <v>0.42070477820427504</v>
      </c>
      <c r="G6" s="60">
        <v>0.11558279972558014</v>
      </c>
      <c r="H6" s="60">
        <f t="shared" ref="H6:H28" si="0">SUBTOTAL(9,D6:G6)</f>
        <v>1</v>
      </c>
      <c r="J6" s="6" t="s">
        <v>750</v>
      </c>
      <c r="K6" s="63">
        <v>0.18390347645903971</v>
      </c>
      <c r="L6" s="63">
        <v>0.54136896366650211</v>
      </c>
      <c r="M6" s="63">
        <v>0.19655206348634541</v>
      </c>
      <c r="N6" s="63">
        <v>7.8175496388112831E-2</v>
      </c>
      <c r="O6" s="1" t="s">
        <v>460</v>
      </c>
      <c r="R6" s="181"/>
      <c r="S6" s="181"/>
      <c r="T6" s="181"/>
      <c r="U6" s="181"/>
      <c r="W6" s="181"/>
      <c r="X6" s="181"/>
      <c r="Y6" s="181"/>
      <c r="Z6" s="181"/>
    </row>
    <row r="7" spans="2:26" x14ac:dyDescent="0.3">
      <c r="B7" s="61" t="s">
        <v>10</v>
      </c>
      <c r="C7" s="6" t="s">
        <v>153</v>
      </c>
      <c r="D7" s="60">
        <v>0.15489332451817117</v>
      </c>
      <c r="E7" s="60">
        <v>0.30881909755197368</v>
      </c>
      <c r="F7" s="60">
        <v>0.42070477820427504</v>
      </c>
      <c r="G7" s="60">
        <v>0.11558279972558012</v>
      </c>
      <c r="H7" s="60">
        <f t="shared" si="0"/>
        <v>1</v>
      </c>
      <c r="J7" s="6" t="s">
        <v>560</v>
      </c>
      <c r="K7" s="63">
        <v>0.15966178025819389</v>
      </c>
      <c r="L7" s="63">
        <v>0.33308159907257306</v>
      </c>
      <c r="M7" s="63">
        <v>0.37756140141055267</v>
      </c>
      <c r="N7" s="63">
        <v>0.12969521925868047</v>
      </c>
      <c r="O7" s="1" t="s">
        <v>460</v>
      </c>
      <c r="R7" s="181"/>
      <c r="S7" s="181"/>
      <c r="T7" s="181"/>
      <c r="U7" s="181"/>
      <c r="W7" s="181"/>
      <c r="X7" s="181"/>
      <c r="Y7" s="181"/>
      <c r="Z7" s="181"/>
    </row>
    <row r="8" spans="2:26" x14ac:dyDescent="0.3">
      <c r="B8" s="61" t="s">
        <v>10</v>
      </c>
      <c r="C8" s="6" t="s">
        <v>164</v>
      </c>
      <c r="D8" s="60">
        <v>0.1548933245181712</v>
      </c>
      <c r="E8" s="60">
        <v>0.30881909755197368</v>
      </c>
      <c r="F8" s="60">
        <v>0.4207047782042751</v>
      </c>
      <c r="G8" s="60">
        <v>0.11558279972558015</v>
      </c>
      <c r="H8" s="60">
        <f t="shared" si="0"/>
        <v>1</v>
      </c>
      <c r="J8" s="6" t="s">
        <v>561</v>
      </c>
      <c r="K8" s="63">
        <v>0.17471625775831814</v>
      </c>
      <c r="L8" s="63">
        <v>0.13041032128525792</v>
      </c>
      <c r="M8" s="63">
        <v>0.51973031692602212</v>
      </c>
      <c r="N8" s="63">
        <v>0.17514310403040181</v>
      </c>
      <c r="O8" s="1" t="s">
        <v>461</v>
      </c>
      <c r="R8" s="181"/>
      <c r="S8" s="181"/>
      <c r="T8" s="181"/>
      <c r="U8" s="181"/>
      <c r="W8" s="181"/>
      <c r="X8" s="181"/>
      <c r="Y8" s="181"/>
      <c r="Z8" s="181"/>
    </row>
    <row r="9" spans="2:26" x14ac:dyDescent="0.3">
      <c r="B9" s="61" t="s">
        <v>10</v>
      </c>
      <c r="C9" s="6" t="s">
        <v>154</v>
      </c>
      <c r="D9" s="60">
        <v>0.15489332451817117</v>
      </c>
      <c r="E9" s="60">
        <v>0.30881909755197368</v>
      </c>
      <c r="F9" s="60">
        <v>0.42070477820427504</v>
      </c>
      <c r="G9" s="60">
        <v>0.11558279972558014</v>
      </c>
      <c r="H9" s="60">
        <f t="shared" si="0"/>
        <v>1</v>
      </c>
      <c r="J9" s="6" t="s">
        <v>562</v>
      </c>
      <c r="K9" s="63">
        <v>0</v>
      </c>
      <c r="L9" s="63">
        <v>1</v>
      </c>
      <c r="M9" s="63">
        <v>0</v>
      </c>
      <c r="N9" s="63">
        <v>0</v>
      </c>
      <c r="O9" s="1" t="s">
        <v>563</v>
      </c>
      <c r="R9" s="181"/>
      <c r="S9" s="181"/>
      <c r="T9" s="181"/>
      <c r="U9" s="181"/>
      <c r="W9" s="181"/>
      <c r="X9" s="181"/>
      <c r="Y9" s="181"/>
      <c r="Z9" s="181"/>
    </row>
    <row r="10" spans="2:26" x14ac:dyDescent="0.3">
      <c r="B10" s="61" t="s">
        <v>10</v>
      </c>
      <c r="C10" s="6" t="s">
        <v>165</v>
      </c>
      <c r="D10" s="60">
        <v>0.15489332451817114</v>
      </c>
      <c r="E10" s="60">
        <v>0.30881909755197362</v>
      </c>
      <c r="F10" s="60">
        <v>0.42070477820427499</v>
      </c>
      <c r="G10" s="60">
        <v>0.11558279972558014</v>
      </c>
      <c r="H10" s="60">
        <f t="shared" si="0"/>
        <v>0.99999999999999989</v>
      </c>
      <c r="J10" s="475" t="s">
        <v>744</v>
      </c>
      <c r="R10" s="181"/>
      <c r="S10" s="181"/>
      <c r="T10" s="181"/>
      <c r="U10" s="181"/>
      <c r="W10" s="181"/>
      <c r="X10" s="181"/>
      <c r="Y10" s="181"/>
      <c r="Z10" s="181"/>
    </row>
    <row r="11" spans="2:26" x14ac:dyDescent="0.3">
      <c r="B11" s="62" t="s">
        <v>10</v>
      </c>
      <c r="C11" s="6" t="s">
        <v>155</v>
      </c>
      <c r="D11" s="259">
        <v>0</v>
      </c>
      <c r="E11" s="259">
        <v>0</v>
      </c>
      <c r="F11" s="259">
        <v>0</v>
      </c>
      <c r="G11" s="259">
        <v>0</v>
      </c>
      <c r="H11" s="179">
        <f t="shared" si="0"/>
        <v>0</v>
      </c>
      <c r="R11" s="181"/>
      <c r="S11" s="181"/>
      <c r="T11" s="181"/>
      <c r="U11" s="181"/>
      <c r="W11" s="181"/>
      <c r="X11" s="181"/>
      <c r="Y11" s="181"/>
      <c r="Z11" s="181"/>
    </row>
    <row r="12" spans="2:26" x14ac:dyDescent="0.3">
      <c r="B12" s="6" t="s">
        <v>32</v>
      </c>
      <c r="C12" s="6" t="s">
        <v>167</v>
      </c>
      <c r="D12" s="60">
        <v>0.1083177090788157</v>
      </c>
      <c r="E12" s="60">
        <v>0.12215934118391332</v>
      </c>
      <c r="F12" s="60">
        <v>0.7027694645437822</v>
      </c>
      <c r="G12" s="60">
        <v>6.6753485193488837E-2</v>
      </c>
      <c r="H12" s="60">
        <f t="shared" si="0"/>
        <v>1</v>
      </c>
      <c r="I12" s="1" t="s">
        <v>754</v>
      </c>
      <c r="R12" s="181"/>
      <c r="S12" s="181"/>
      <c r="T12" s="181"/>
      <c r="U12" s="181"/>
      <c r="W12" s="181"/>
      <c r="X12" s="181"/>
      <c r="Y12" s="181"/>
      <c r="Z12" s="181"/>
    </row>
    <row r="13" spans="2:26" x14ac:dyDescent="0.3">
      <c r="B13" s="31" t="s">
        <v>150</v>
      </c>
      <c r="C13" s="6" t="s">
        <v>102</v>
      </c>
      <c r="D13" s="60">
        <v>9.9857183765051566E-2</v>
      </c>
      <c r="E13" s="60">
        <v>0.21989912164615855</v>
      </c>
      <c r="F13" s="60">
        <v>0.58908054274122468</v>
      </c>
      <c r="G13" s="60">
        <v>9.1163151847565252E-2</v>
      </c>
      <c r="H13" s="60">
        <f t="shared" si="0"/>
        <v>1</v>
      </c>
      <c r="R13" s="181"/>
      <c r="S13" s="181"/>
      <c r="T13" s="181"/>
      <c r="U13" s="181"/>
      <c r="W13" s="181"/>
      <c r="X13" s="181"/>
      <c r="Y13" s="181"/>
      <c r="Z13" s="181"/>
    </row>
    <row r="14" spans="2:26" x14ac:dyDescent="0.3">
      <c r="B14" s="61" t="s">
        <v>150</v>
      </c>
      <c r="C14" s="6" t="s">
        <v>156</v>
      </c>
      <c r="D14" s="60">
        <v>9.9857183765051566E-2</v>
      </c>
      <c r="E14" s="60">
        <v>0.21989912164615852</v>
      </c>
      <c r="F14" s="60">
        <v>0.58908054274122468</v>
      </c>
      <c r="G14" s="60">
        <v>9.1163151847565266E-2</v>
      </c>
      <c r="H14" s="60">
        <f t="shared" si="0"/>
        <v>1</v>
      </c>
      <c r="R14" s="181"/>
      <c r="S14" s="181"/>
      <c r="T14" s="181"/>
      <c r="U14" s="181"/>
      <c r="W14" s="181"/>
      <c r="X14" s="181"/>
      <c r="Y14" s="181"/>
      <c r="Z14" s="181"/>
    </row>
    <row r="15" spans="2:26" x14ac:dyDescent="0.3">
      <c r="B15" s="61" t="s">
        <v>150</v>
      </c>
      <c r="C15" s="6" t="s">
        <v>157</v>
      </c>
      <c r="D15" s="60">
        <v>9.985718376505158E-2</v>
      </c>
      <c r="E15" s="60">
        <v>0.21989912164615855</v>
      </c>
      <c r="F15" s="60">
        <v>0.58908054274122468</v>
      </c>
      <c r="G15" s="60">
        <v>9.1163151847565266E-2</v>
      </c>
      <c r="H15" s="60">
        <f t="shared" si="0"/>
        <v>1</v>
      </c>
      <c r="R15" s="181"/>
      <c r="S15" s="181"/>
      <c r="T15" s="181"/>
      <c r="U15" s="181"/>
      <c r="W15" s="181"/>
      <c r="X15" s="181"/>
      <c r="Y15" s="181"/>
      <c r="Z15" s="181"/>
    </row>
    <row r="16" spans="2:26" x14ac:dyDescent="0.3">
      <c r="B16" s="61" t="s">
        <v>150</v>
      </c>
      <c r="C16" s="6" t="s">
        <v>158</v>
      </c>
      <c r="D16" s="60">
        <v>9.985718376505158E-2</v>
      </c>
      <c r="E16" s="60">
        <v>0.21989912164615857</v>
      </c>
      <c r="F16" s="60">
        <v>0.58908054274122468</v>
      </c>
      <c r="G16" s="60">
        <v>9.1163151847565266E-2</v>
      </c>
      <c r="H16" s="60">
        <f t="shared" si="0"/>
        <v>1</v>
      </c>
      <c r="R16" s="181"/>
      <c r="S16" s="181"/>
      <c r="T16" s="181"/>
      <c r="U16" s="181"/>
      <c r="W16" s="181"/>
      <c r="X16" s="181"/>
      <c r="Y16" s="181"/>
      <c r="Z16" s="181"/>
    </row>
    <row r="17" spans="2:26" x14ac:dyDescent="0.3">
      <c r="B17" s="61" t="s">
        <v>150</v>
      </c>
      <c r="C17" s="6" t="s">
        <v>159</v>
      </c>
      <c r="D17" s="60">
        <v>9.9857183765051566E-2</v>
      </c>
      <c r="E17" s="60">
        <v>0.21989912164615852</v>
      </c>
      <c r="F17" s="60">
        <v>0.58908054274122457</v>
      </c>
      <c r="G17" s="60">
        <v>9.1163151847565252E-2</v>
      </c>
      <c r="H17" s="60">
        <f t="shared" si="0"/>
        <v>1</v>
      </c>
      <c r="R17" s="181"/>
      <c r="S17" s="181"/>
      <c r="T17" s="181"/>
      <c r="U17" s="181"/>
      <c r="W17" s="181"/>
      <c r="X17" s="181"/>
      <c r="Y17" s="181"/>
      <c r="Z17" s="181"/>
    </row>
    <row r="18" spans="2:26" x14ac:dyDescent="0.3">
      <c r="B18" s="61" t="s">
        <v>150</v>
      </c>
      <c r="C18" s="6" t="s">
        <v>160</v>
      </c>
      <c r="D18" s="60">
        <v>9.9857183765051566E-2</v>
      </c>
      <c r="E18" s="60">
        <v>0.21989912164615855</v>
      </c>
      <c r="F18" s="60">
        <v>0.58908054274122468</v>
      </c>
      <c r="G18" s="60">
        <v>9.1163151847565266E-2</v>
      </c>
      <c r="H18" s="60">
        <f t="shared" si="0"/>
        <v>1</v>
      </c>
      <c r="R18" s="181"/>
      <c r="S18" s="181"/>
      <c r="T18" s="181"/>
      <c r="U18" s="181"/>
      <c r="W18" s="181"/>
      <c r="X18" s="181"/>
      <c r="Y18" s="181"/>
      <c r="Z18" s="181"/>
    </row>
    <row r="19" spans="2:26" x14ac:dyDescent="0.3">
      <c r="B19" s="61" t="s">
        <v>150</v>
      </c>
      <c r="C19" s="6" t="s">
        <v>161</v>
      </c>
      <c r="D19" s="60">
        <v>9.9857183765051566E-2</v>
      </c>
      <c r="E19" s="60">
        <v>0.21989912164615855</v>
      </c>
      <c r="F19" s="60">
        <v>0.58908054274122468</v>
      </c>
      <c r="G19" s="60">
        <v>9.1163151847565266E-2</v>
      </c>
      <c r="H19" s="60">
        <f t="shared" si="0"/>
        <v>1</v>
      </c>
      <c r="R19" s="181"/>
      <c r="S19" s="181"/>
      <c r="T19" s="181"/>
      <c r="U19" s="181"/>
      <c r="W19" s="181"/>
      <c r="X19" s="181"/>
      <c r="Y19" s="181"/>
      <c r="Z19" s="181"/>
    </row>
    <row r="20" spans="2:26" x14ac:dyDescent="0.3">
      <c r="B20" s="61" t="s">
        <v>150</v>
      </c>
      <c r="C20" s="415" t="s">
        <v>176</v>
      </c>
      <c r="D20" s="416">
        <f>AVERAGE(D18:D19)</f>
        <v>9.9857183765051566E-2</v>
      </c>
      <c r="E20" s="416">
        <f t="shared" ref="E20:G20" si="1">AVERAGE(E18:E19)</f>
        <v>0.21989912164615855</v>
      </c>
      <c r="F20" s="416">
        <f t="shared" si="1"/>
        <v>0.58908054274122468</v>
      </c>
      <c r="G20" s="416">
        <f t="shared" si="1"/>
        <v>9.1163151847565266E-2</v>
      </c>
      <c r="H20" s="416">
        <f t="shared" si="0"/>
        <v>1</v>
      </c>
      <c r="R20" s="181"/>
      <c r="S20" s="181"/>
      <c r="T20" s="181"/>
      <c r="U20" s="181"/>
      <c r="W20" s="181"/>
      <c r="X20" s="181"/>
      <c r="Y20" s="181"/>
      <c r="Z20" s="181"/>
    </row>
    <row r="21" spans="2:26" x14ac:dyDescent="0.3">
      <c r="B21" s="61" t="s">
        <v>150</v>
      </c>
      <c r="C21" s="6" t="s">
        <v>323</v>
      </c>
      <c r="D21" s="75">
        <v>9.9857183765051566E-2</v>
      </c>
      <c r="E21" s="75">
        <v>0.21989912164615855</v>
      </c>
      <c r="F21" s="75">
        <v>0.58908054274122468</v>
      </c>
      <c r="G21" s="75">
        <v>9.1163151847565266E-2</v>
      </c>
      <c r="H21" s="60">
        <f t="shared" si="0"/>
        <v>1</v>
      </c>
      <c r="R21" s="181"/>
      <c r="S21" s="181"/>
      <c r="T21" s="181"/>
      <c r="U21" s="181"/>
      <c r="W21" s="181"/>
      <c r="X21" s="181"/>
      <c r="Y21" s="181"/>
      <c r="Z21" s="181"/>
    </row>
    <row r="22" spans="2:26" x14ac:dyDescent="0.3">
      <c r="B22" s="61" t="s">
        <v>150</v>
      </c>
      <c r="C22" s="6" t="s">
        <v>5</v>
      </c>
      <c r="D22" s="75">
        <v>9.9857183765051566E-2</v>
      </c>
      <c r="E22" s="75">
        <v>0.21989912164615852</v>
      </c>
      <c r="F22" s="75">
        <v>0.58908054274122468</v>
      </c>
      <c r="G22" s="75">
        <v>9.1163151847565266E-2</v>
      </c>
      <c r="H22" s="60">
        <f t="shared" si="0"/>
        <v>1</v>
      </c>
      <c r="R22" s="181"/>
      <c r="S22" s="181"/>
      <c r="T22" s="181"/>
      <c r="U22" s="181"/>
      <c r="W22" s="181"/>
      <c r="X22" s="181"/>
      <c r="Y22" s="181"/>
      <c r="Z22" s="181"/>
    </row>
    <row r="23" spans="2:26" x14ac:dyDescent="0.3">
      <c r="B23" s="61"/>
      <c r="C23" s="321" t="s">
        <v>548</v>
      </c>
      <c r="D23" s="417">
        <v>0.2</v>
      </c>
      <c r="E23" s="417">
        <v>0.8</v>
      </c>
      <c r="F23" s="417">
        <v>0</v>
      </c>
      <c r="G23" s="417">
        <v>0</v>
      </c>
      <c r="H23" s="320">
        <f t="shared" si="0"/>
        <v>1</v>
      </c>
      <c r="R23" s="181"/>
      <c r="S23" s="181"/>
      <c r="T23" s="181"/>
      <c r="U23" s="181"/>
      <c r="W23" s="181"/>
      <c r="X23" s="181"/>
      <c r="Y23" s="181"/>
      <c r="Z23" s="181"/>
    </row>
    <row r="24" spans="2:26" x14ac:dyDescent="0.3">
      <c r="B24" s="61"/>
      <c r="C24" s="6" t="s">
        <v>547</v>
      </c>
      <c r="D24" s="182">
        <v>0.19</v>
      </c>
      <c r="E24" s="182">
        <v>0.81</v>
      </c>
      <c r="F24" s="182">
        <v>0</v>
      </c>
      <c r="G24" s="182">
        <v>0</v>
      </c>
      <c r="H24" s="60">
        <f t="shared" ref="H24" si="2">SUBTOTAL(9,D24:G24)</f>
        <v>1</v>
      </c>
      <c r="R24" s="181"/>
      <c r="S24" s="181"/>
      <c r="T24" s="181"/>
      <c r="U24" s="181"/>
      <c r="W24" s="181"/>
      <c r="X24" s="181"/>
      <c r="Y24" s="181"/>
      <c r="Z24" s="181"/>
    </row>
    <row r="25" spans="2:26" x14ac:dyDescent="0.3">
      <c r="B25" s="31" t="s">
        <v>151</v>
      </c>
      <c r="C25" s="6" t="s">
        <v>166</v>
      </c>
      <c r="D25" s="60">
        <v>0.18059595131155939</v>
      </c>
      <c r="E25" s="60">
        <v>0.3444349339228841</v>
      </c>
      <c r="F25" s="60">
        <v>0.47496911476555648</v>
      </c>
      <c r="G25" s="60">
        <v>0</v>
      </c>
      <c r="H25" s="60">
        <f t="shared" si="0"/>
        <v>1</v>
      </c>
      <c r="I25" s="55" t="s">
        <v>600</v>
      </c>
      <c r="R25" s="181"/>
      <c r="S25" s="181"/>
      <c r="T25" s="181"/>
      <c r="U25" s="181"/>
      <c r="W25" s="181"/>
      <c r="X25" s="181"/>
      <c r="Y25" s="181"/>
      <c r="Z25" s="181"/>
    </row>
    <row r="26" spans="2:26" x14ac:dyDescent="0.3">
      <c r="B26" s="61" t="s">
        <v>151</v>
      </c>
      <c r="C26" s="76" t="s">
        <v>162</v>
      </c>
      <c r="D26" s="182">
        <v>7.5602248903352409E-5</v>
      </c>
      <c r="E26" s="182">
        <v>0.31234844765683267</v>
      </c>
      <c r="F26" s="182">
        <v>-1.5861030210103227E-5</v>
      </c>
      <c r="G26" s="182">
        <v>0.68759181112447409</v>
      </c>
      <c r="H26" s="182">
        <f t="shared" si="0"/>
        <v>1</v>
      </c>
      <c r="I26" s="1" t="s">
        <v>324</v>
      </c>
      <c r="K26" s="414"/>
      <c r="L26" s="414"/>
      <c r="M26" s="414"/>
      <c r="R26" s="181"/>
      <c r="S26" s="181"/>
      <c r="T26" s="181"/>
      <c r="U26" s="181"/>
      <c r="W26" s="181"/>
      <c r="X26" s="181"/>
      <c r="Y26" s="181"/>
      <c r="Z26" s="181"/>
    </row>
    <row r="27" spans="2:26" x14ac:dyDescent="0.3">
      <c r="B27" s="61" t="s">
        <v>151</v>
      </c>
      <c r="C27" s="76" t="s">
        <v>163</v>
      </c>
      <c r="D27" s="182">
        <v>0</v>
      </c>
      <c r="E27" s="182">
        <v>0.1234599702833751</v>
      </c>
      <c r="F27" s="182">
        <v>0.71805459816941353</v>
      </c>
      <c r="G27" s="182">
        <v>0.15848543154721134</v>
      </c>
      <c r="H27" s="182">
        <f t="shared" si="0"/>
        <v>1</v>
      </c>
      <c r="I27" s="1" t="s">
        <v>324</v>
      </c>
      <c r="R27" s="181"/>
      <c r="S27" s="181"/>
      <c r="T27" s="181"/>
      <c r="U27" s="181"/>
      <c r="W27" s="181"/>
      <c r="X27" s="181"/>
      <c r="Y27" s="181"/>
      <c r="Z27" s="181"/>
    </row>
    <row r="28" spans="2:26" x14ac:dyDescent="0.3">
      <c r="B28" s="62" t="s">
        <v>151</v>
      </c>
      <c r="C28" s="76" t="s">
        <v>5</v>
      </c>
      <c r="D28" s="182">
        <v>4.1516835164001557E-2</v>
      </c>
      <c r="E28" s="182">
        <v>0.54643647744316437</v>
      </c>
      <c r="F28" s="182">
        <v>0.18816542802266789</v>
      </c>
      <c r="G28" s="182">
        <v>0.22388125937016617</v>
      </c>
      <c r="H28" s="182">
        <f t="shared" si="0"/>
        <v>1</v>
      </c>
      <c r="I28" s="1" t="s">
        <v>324</v>
      </c>
      <c r="R28" s="181"/>
      <c r="S28" s="181"/>
      <c r="T28" s="181"/>
      <c r="U28" s="181"/>
      <c r="W28" s="181"/>
      <c r="X28" s="181"/>
      <c r="Y28" s="181"/>
      <c r="Z28" s="181"/>
    </row>
    <row r="29" spans="2:26" x14ac:dyDescent="0.3">
      <c r="B29" s="24" t="s">
        <v>656</v>
      </c>
    </row>
    <row r="31" spans="2:26" x14ac:dyDescent="0.3">
      <c r="B31" s="2" t="s">
        <v>179</v>
      </c>
    </row>
    <row r="32" spans="2:26" x14ac:dyDescent="0.3">
      <c r="B32" s="65" t="s">
        <v>210</v>
      </c>
      <c r="C32" s="6" t="s">
        <v>177</v>
      </c>
      <c r="D32" s="28" t="s">
        <v>180</v>
      </c>
      <c r="E32" s="28" t="s">
        <v>181</v>
      </c>
      <c r="F32" s="28" t="s">
        <v>182</v>
      </c>
      <c r="G32" s="28" t="s">
        <v>183</v>
      </c>
      <c r="H32" s="28" t="s">
        <v>5</v>
      </c>
      <c r="I32" s="28" t="s">
        <v>146</v>
      </c>
      <c r="J32" s="36"/>
    </row>
    <row r="33" spans="2:10" x14ac:dyDescent="0.3">
      <c r="B33" s="68" t="s">
        <v>10</v>
      </c>
      <c r="C33" s="6" t="s">
        <v>213</v>
      </c>
      <c r="D33" s="63">
        <v>0.05</v>
      </c>
      <c r="E33" s="63">
        <v>0.15</v>
      </c>
      <c r="F33" s="63">
        <v>0.4</v>
      </c>
      <c r="G33" s="63">
        <v>0.05</v>
      </c>
      <c r="H33" s="63">
        <v>0.35</v>
      </c>
      <c r="I33" s="66">
        <f t="shared" ref="I33:I65" si="3">SUM(D33:H33)</f>
        <v>1</v>
      </c>
    </row>
    <row r="34" spans="2:10" x14ac:dyDescent="0.3">
      <c r="B34" s="69"/>
      <c r="C34" s="76" t="s">
        <v>186</v>
      </c>
      <c r="D34" s="77">
        <v>0.05</v>
      </c>
      <c r="E34" s="77">
        <v>0.2</v>
      </c>
      <c r="F34" s="77">
        <v>0.35</v>
      </c>
      <c r="G34" s="77">
        <v>0.05</v>
      </c>
      <c r="H34" s="77">
        <v>0.35</v>
      </c>
      <c r="I34" s="66">
        <f t="shared" si="3"/>
        <v>1</v>
      </c>
      <c r="J34" s="34"/>
    </row>
    <row r="35" spans="2:10" x14ac:dyDescent="0.3">
      <c r="B35" s="69"/>
      <c r="C35" s="76" t="s">
        <v>250</v>
      </c>
      <c r="D35" s="77">
        <v>0.67</v>
      </c>
      <c r="E35" s="77">
        <v>0</v>
      </c>
      <c r="F35" s="77">
        <v>0.13</v>
      </c>
      <c r="G35" s="77">
        <v>0</v>
      </c>
      <c r="H35" s="77">
        <v>0.2</v>
      </c>
      <c r="I35" s="66">
        <f t="shared" si="3"/>
        <v>1</v>
      </c>
      <c r="J35" s="34"/>
    </row>
    <row r="36" spans="2:10" x14ac:dyDescent="0.3">
      <c r="B36" s="69"/>
      <c r="C36" s="6" t="s">
        <v>188</v>
      </c>
      <c r="D36" s="63">
        <v>0.17</v>
      </c>
      <c r="E36" s="63">
        <v>0.17</v>
      </c>
      <c r="F36" s="63">
        <v>0.42</v>
      </c>
      <c r="G36" s="63">
        <v>0.17</v>
      </c>
      <c r="H36" s="63">
        <v>7.0000000000000007E-2</v>
      </c>
      <c r="I36" s="66">
        <f t="shared" si="3"/>
        <v>1</v>
      </c>
    </row>
    <row r="37" spans="2:10" x14ac:dyDescent="0.3">
      <c r="B37" s="69"/>
      <c r="C37" s="6" t="s">
        <v>576</v>
      </c>
      <c r="D37" s="77">
        <v>0.05</v>
      </c>
      <c r="E37" s="77">
        <v>0.2</v>
      </c>
      <c r="F37" s="77">
        <v>0.35</v>
      </c>
      <c r="G37" s="77">
        <v>0.05</v>
      </c>
      <c r="H37" s="77">
        <v>0.35</v>
      </c>
      <c r="I37" s="66">
        <f t="shared" si="3"/>
        <v>1</v>
      </c>
      <c r="J37" s="34"/>
    </row>
    <row r="38" spans="2:10" x14ac:dyDescent="0.3">
      <c r="B38" s="69"/>
      <c r="C38" s="6" t="s">
        <v>189</v>
      </c>
      <c r="D38" s="63">
        <v>0.2</v>
      </c>
      <c r="E38" s="63">
        <v>0.1</v>
      </c>
      <c r="F38" s="63">
        <v>0.3</v>
      </c>
      <c r="G38" s="63">
        <v>0.05</v>
      </c>
      <c r="H38" s="63">
        <v>0.35</v>
      </c>
      <c r="I38" s="66">
        <f t="shared" si="3"/>
        <v>1</v>
      </c>
    </row>
    <row r="39" spans="2:10" x14ac:dyDescent="0.3">
      <c r="B39" s="69"/>
      <c r="C39" s="6" t="s">
        <v>215</v>
      </c>
      <c r="D39" s="63">
        <v>0.67</v>
      </c>
      <c r="E39" s="63">
        <v>0</v>
      </c>
      <c r="F39" s="63">
        <v>0.13</v>
      </c>
      <c r="G39" s="63">
        <v>0</v>
      </c>
      <c r="H39" s="63">
        <v>0.2</v>
      </c>
      <c r="I39" s="66">
        <f t="shared" ref="I39:I61" si="4">SUM(D39:H39)</f>
        <v>1</v>
      </c>
    </row>
    <row r="40" spans="2:10" x14ac:dyDescent="0.3">
      <c r="B40" s="69"/>
      <c r="C40" s="6" t="s">
        <v>216</v>
      </c>
      <c r="D40" s="63">
        <v>0.67</v>
      </c>
      <c r="E40" s="63">
        <v>0</v>
      </c>
      <c r="F40" s="63">
        <v>0.13</v>
      </c>
      <c r="G40" s="63">
        <v>0</v>
      </c>
      <c r="H40" s="63">
        <v>0.2</v>
      </c>
      <c r="I40" s="66">
        <f t="shared" si="4"/>
        <v>1</v>
      </c>
    </row>
    <row r="41" spans="2:10" x14ac:dyDescent="0.3">
      <c r="B41" s="69"/>
      <c r="C41" s="76" t="s">
        <v>214</v>
      </c>
      <c r="D41" s="77">
        <f>(D39+D40)/2</f>
        <v>0.67</v>
      </c>
      <c r="E41" s="77">
        <f>(E39+E40)/2</f>
        <v>0</v>
      </c>
      <c r="F41" s="77">
        <f>(F39+F40)/2</f>
        <v>0.13</v>
      </c>
      <c r="G41" s="77">
        <f>(G39+G40)/2</f>
        <v>0</v>
      </c>
      <c r="H41" s="77">
        <f>(H39+H40)/2</f>
        <v>0.2</v>
      </c>
      <c r="I41" s="66">
        <f t="shared" si="4"/>
        <v>1</v>
      </c>
    </row>
    <row r="42" spans="2:10" x14ac:dyDescent="0.3">
      <c r="B42" s="69"/>
      <c r="C42" s="6" t="s">
        <v>207</v>
      </c>
      <c r="D42" s="63">
        <v>0.67</v>
      </c>
      <c r="E42" s="63">
        <v>0</v>
      </c>
      <c r="F42" s="63">
        <v>0.13</v>
      </c>
      <c r="G42" s="63">
        <v>0</v>
      </c>
      <c r="H42" s="63">
        <v>0.2</v>
      </c>
      <c r="I42" s="66">
        <f t="shared" si="4"/>
        <v>1</v>
      </c>
    </row>
    <row r="43" spans="2:10" x14ac:dyDescent="0.3">
      <c r="B43" s="69"/>
      <c r="C43" s="6" t="s">
        <v>208</v>
      </c>
      <c r="D43" s="63">
        <v>0.67</v>
      </c>
      <c r="E43" s="63">
        <v>0</v>
      </c>
      <c r="F43" s="63">
        <v>0.13</v>
      </c>
      <c r="G43" s="63">
        <v>0</v>
      </c>
      <c r="H43" s="63">
        <v>0.2</v>
      </c>
      <c r="I43" s="66">
        <f t="shared" si="4"/>
        <v>1</v>
      </c>
    </row>
    <row r="44" spans="2:10" x14ac:dyDescent="0.3">
      <c r="B44" s="69"/>
      <c r="C44" s="6" t="s">
        <v>246</v>
      </c>
      <c r="D44" s="63">
        <v>0.05</v>
      </c>
      <c r="E44" s="63">
        <v>0.15</v>
      </c>
      <c r="F44" s="63">
        <v>0.4</v>
      </c>
      <c r="G44" s="63">
        <v>0</v>
      </c>
      <c r="H44" s="63">
        <v>0.4</v>
      </c>
      <c r="I44" s="66">
        <v>1</v>
      </c>
    </row>
    <row r="45" spans="2:10" x14ac:dyDescent="0.3">
      <c r="B45" s="69"/>
      <c r="C45" s="6" t="s">
        <v>238</v>
      </c>
      <c r="D45" s="63">
        <v>0.75</v>
      </c>
      <c r="E45" s="63">
        <v>0</v>
      </c>
      <c r="F45" s="63">
        <v>0</v>
      </c>
      <c r="G45" s="63">
        <v>0.05</v>
      </c>
      <c r="H45" s="63">
        <v>0.2</v>
      </c>
      <c r="I45" s="66">
        <v>1</v>
      </c>
    </row>
    <row r="46" spans="2:10" x14ac:dyDescent="0.3">
      <c r="B46" s="69"/>
      <c r="C46" s="6" t="s">
        <v>251</v>
      </c>
      <c r="D46" s="63">
        <v>0</v>
      </c>
      <c r="E46" s="63">
        <v>0</v>
      </c>
      <c r="F46" s="63">
        <v>1</v>
      </c>
      <c r="G46" s="63">
        <v>0</v>
      </c>
      <c r="H46" s="63">
        <v>0</v>
      </c>
      <c r="I46" s="66">
        <v>1</v>
      </c>
    </row>
    <row r="47" spans="2:10" x14ac:dyDescent="0.3">
      <c r="B47" s="69"/>
      <c r="C47" s="6" t="s">
        <v>252</v>
      </c>
      <c r="D47" s="63">
        <v>0</v>
      </c>
      <c r="E47" s="63">
        <v>0</v>
      </c>
      <c r="F47" s="63">
        <v>1</v>
      </c>
      <c r="G47" s="63">
        <v>0</v>
      </c>
      <c r="H47" s="63">
        <v>0</v>
      </c>
      <c r="I47" s="66">
        <v>1</v>
      </c>
    </row>
    <row r="48" spans="2:10" x14ac:dyDescent="0.3">
      <c r="B48" s="69"/>
      <c r="C48" s="6" t="s">
        <v>5</v>
      </c>
      <c r="D48" s="63">
        <v>0.1</v>
      </c>
      <c r="E48" s="63">
        <v>0.1</v>
      </c>
      <c r="F48" s="63">
        <v>0.1</v>
      </c>
      <c r="G48" s="63">
        <v>0</v>
      </c>
      <c r="H48" s="63">
        <v>0.7</v>
      </c>
      <c r="I48" s="66">
        <f t="shared" ref="I48" si="5">SUM(D48:H48)</f>
        <v>1</v>
      </c>
    </row>
    <row r="49" spans="2:10" x14ac:dyDescent="0.3">
      <c r="B49" s="70"/>
      <c r="C49" s="6" t="s">
        <v>355</v>
      </c>
      <c r="D49" s="63">
        <v>0</v>
      </c>
      <c r="E49" s="63">
        <v>0</v>
      </c>
      <c r="F49" s="63">
        <v>0</v>
      </c>
      <c r="G49" s="63">
        <v>0</v>
      </c>
      <c r="H49" s="63">
        <v>0</v>
      </c>
      <c r="I49" s="66">
        <f t="shared" si="3"/>
        <v>0</v>
      </c>
    </row>
    <row r="50" spans="2:10" hidden="1" outlineLevel="1" x14ac:dyDescent="0.3">
      <c r="B50" s="71" t="s">
        <v>32</v>
      </c>
      <c r="C50" s="76" t="s">
        <v>657</v>
      </c>
      <c r="D50" s="63"/>
      <c r="E50" s="63"/>
      <c r="F50" s="63"/>
      <c r="G50" s="63"/>
      <c r="H50" s="63"/>
      <c r="I50" s="66">
        <f t="shared" si="4"/>
        <v>0</v>
      </c>
      <c r="J50" s="1" t="s">
        <v>754</v>
      </c>
    </row>
    <row r="51" spans="2:10" hidden="1" outlineLevel="1" x14ac:dyDescent="0.3">
      <c r="B51" s="69"/>
      <c r="C51" s="76" t="s">
        <v>658</v>
      </c>
      <c r="D51" s="63"/>
      <c r="E51" s="63"/>
      <c r="F51" s="63"/>
      <c r="G51" s="63"/>
      <c r="H51" s="63"/>
      <c r="I51" s="66">
        <f t="shared" si="4"/>
        <v>0</v>
      </c>
      <c r="J51" s="1" t="s">
        <v>754</v>
      </c>
    </row>
    <row r="52" spans="2:10" hidden="1" outlineLevel="1" x14ac:dyDescent="0.3">
      <c r="B52" s="69"/>
      <c r="C52" s="76" t="s">
        <v>659</v>
      </c>
      <c r="D52" s="63"/>
      <c r="E52" s="63"/>
      <c r="F52" s="63"/>
      <c r="G52" s="63"/>
      <c r="H52" s="63"/>
      <c r="I52" s="66">
        <f t="shared" si="4"/>
        <v>0</v>
      </c>
      <c r="J52" s="1" t="s">
        <v>754</v>
      </c>
    </row>
    <row r="53" spans="2:10" hidden="1" outlineLevel="1" x14ac:dyDescent="0.3">
      <c r="B53" s="69"/>
      <c r="C53" s="76" t="s">
        <v>660</v>
      </c>
      <c r="D53" s="63"/>
      <c r="E53" s="63"/>
      <c r="F53" s="63"/>
      <c r="G53" s="63"/>
      <c r="H53" s="63"/>
      <c r="I53" s="66">
        <f t="shared" si="4"/>
        <v>0</v>
      </c>
      <c r="J53" s="1" t="s">
        <v>754</v>
      </c>
    </row>
    <row r="54" spans="2:10" hidden="1" outlineLevel="1" x14ac:dyDescent="0.3">
      <c r="B54" s="69"/>
      <c r="C54" s="76" t="s">
        <v>661</v>
      </c>
      <c r="D54" s="63"/>
      <c r="E54" s="63"/>
      <c r="F54" s="63"/>
      <c r="G54" s="63"/>
      <c r="H54" s="63"/>
      <c r="I54" s="66">
        <f t="shared" si="4"/>
        <v>0</v>
      </c>
      <c r="J54" s="1" t="s">
        <v>754</v>
      </c>
    </row>
    <row r="55" spans="2:10" hidden="1" outlineLevel="1" x14ac:dyDescent="0.3">
      <c r="B55" s="69"/>
      <c r="C55" s="76" t="s">
        <v>667</v>
      </c>
      <c r="D55" s="63"/>
      <c r="E55" s="63"/>
      <c r="F55" s="63"/>
      <c r="G55" s="63"/>
      <c r="H55" s="63"/>
      <c r="I55" s="66">
        <f t="shared" si="4"/>
        <v>0</v>
      </c>
      <c r="J55" s="1" t="s">
        <v>754</v>
      </c>
    </row>
    <row r="56" spans="2:10" hidden="1" outlineLevel="1" x14ac:dyDescent="0.3">
      <c r="B56" s="69"/>
      <c r="C56" s="76" t="s">
        <v>662</v>
      </c>
      <c r="D56" s="63"/>
      <c r="E56" s="63"/>
      <c r="F56" s="63"/>
      <c r="G56" s="63"/>
      <c r="H56" s="63"/>
      <c r="I56" s="66">
        <f t="shared" si="4"/>
        <v>0</v>
      </c>
      <c r="J56" s="1" t="s">
        <v>754</v>
      </c>
    </row>
    <row r="57" spans="2:10" hidden="1" outlineLevel="1" x14ac:dyDescent="0.3">
      <c r="B57" s="69"/>
      <c r="C57" s="76" t="s">
        <v>663</v>
      </c>
      <c r="D57" s="63"/>
      <c r="E57" s="63"/>
      <c r="F57" s="63"/>
      <c r="G57" s="63"/>
      <c r="H57" s="63"/>
      <c r="I57" s="66">
        <f t="shared" si="4"/>
        <v>0</v>
      </c>
      <c r="J57" s="1" t="s">
        <v>754</v>
      </c>
    </row>
    <row r="58" spans="2:10" hidden="1" outlineLevel="1" x14ac:dyDescent="0.3">
      <c r="B58" s="69"/>
      <c r="C58" s="76" t="s">
        <v>664</v>
      </c>
      <c r="D58" s="63"/>
      <c r="E58" s="63"/>
      <c r="F58" s="63"/>
      <c r="G58" s="63"/>
      <c r="H58" s="63"/>
      <c r="I58" s="66">
        <f t="shared" si="4"/>
        <v>0</v>
      </c>
      <c r="J58" s="1" t="s">
        <v>754</v>
      </c>
    </row>
    <row r="59" spans="2:10" hidden="1" outlineLevel="1" x14ac:dyDescent="0.3">
      <c r="B59" s="69"/>
      <c r="C59" s="76" t="s">
        <v>665</v>
      </c>
      <c r="D59" s="63"/>
      <c r="E59" s="63"/>
      <c r="F59" s="63"/>
      <c r="G59" s="63"/>
      <c r="H59" s="63"/>
      <c r="I59" s="66">
        <f t="shared" si="4"/>
        <v>0</v>
      </c>
      <c r="J59" s="1" t="s">
        <v>754</v>
      </c>
    </row>
    <row r="60" spans="2:10" hidden="1" outlineLevel="1" x14ac:dyDescent="0.3">
      <c r="B60" s="69"/>
      <c r="C60" s="76" t="s">
        <v>666</v>
      </c>
      <c r="D60" s="63"/>
      <c r="E60" s="63"/>
      <c r="F60" s="63"/>
      <c r="G60" s="63"/>
      <c r="H60" s="63"/>
      <c r="I60" s="66">
        <f t="shared" si="4"/>
        <v>0</v>
      </c>
      <c r="J60" s="1" t="s">
        <v>754</v>
      </c>
    </row>
    <row r="61" spans="2:10" hidden="1" outlineLevel="1" x14ac:dyDescent="0.3">
      <c r="B61" s="69"/>
      <c r="C61" s="6" t="s">
        <v>355</v>
      </c>
      <c r="D61" s="63">
        <v>0</v>
      </c>
      <c r="E61" s="63">
        <v>0</v>
      </c>
      <c r="F61" s="63">
        <v>0</v>
      </c>
      <c r="G61" s="63">
        <v>0</v>
      </c>
      <c r="H61" s="63">
        <v>0</v>
      </c>
      <c r="I61" s="66">
        <f t="shared" si="4"/>
        <v>0</v>
      </c>
    </row>
    <row r="62" spans="2:10" collapsed="1" x14ac:dyDescent="0.3">
      <c r="B62" s="68" t="s">
        <v>150</v>
      </c>
      <c r="C62" s="6" t="s">
        <v>190</v>
      </c>
      <c r="D62" s="63">
        <v>0</v>
      </c>
      <c r="E62" s="63">
        <v>0</v>
      </c>
      <c r="F62" s="63">
        <v>0.1</v>
      </c>
      <c r="G62" s="63">
        <v>0</v>
      </c>
      <c r="H62" s="63">
        <v>0.9</v>
      </c>
      <c r="I62" s="66">
        <f t="shared" si="3"/>
        <v>1</v>
      </c>
      <c r="J62" s="36"/>
    </row>
    <row r="63" spans="2:10" x14ac:dyDescent="0.3">
      <c r="B63" s="71"/>
      <c r="C63" s="6" t="s">
        <v>191</v>
      </c>
      <c r="D63" s="63">
        <v>0</v>
      </c>
      <c r="E63" s="63">
        <v>0</v>
      </c>
      <c r="F63" s="63">
        <v>1</v>
      </c>
      <c r="G63" s="63">
        <v>0</v>
      </c>
      <c r="H63" s="63">
        <v>0</v>
      </c>
      <c r="I63" s="66">
        <f t="shared" si="3"/>
        <v>1</v>
      </c>
      <c r="J63" s="36"/>
    </row>
    <row r="64" spans="2:10" x14ac:dyDescent="0.3">
      <c r="B64" s="32"/>
      <c r="C64" s="6" t="s">
        <v>192</v>
      </c>
      <c r="D64" s="63">
        <v>0</v>
      </c>
      <c r="E64" s="63">
        <v>0</v>
      </c>
      <c r="F64" s="63">
        <v>1</v>
      </c>
      <c r="G64" s="63">
        <v>0</v>
      </c>
      <c r="H64" s="63">
        <v>0</v>
      </c>
      <c r="I64" s="66">
        <f t="shared" si="3"/>
        <v>1</v>
      </c>
      <c r="J64" s="36"/>
    </row>
    <row r="65" spans="2:10" x14ac:dyDescent="0.3">
      <c r="B65" s="32"/>
      <c r="C65" s="6" t="s">
        <v>193</v>
      </c>
      <c r="D65" s="63">
        <v>0.67</v>
      </c>
      <c r="E65" s="63">
        <v>0</v>
      </c>
      <c r="F65" s="63">
        <v>0.13</v>
      </c>
      <c r="G65" s="63">
        <v>0</v>
      </c>
      <c r="H65" s="63">
        <v>0.2</v>
      </c>
      <c r="I65" s="66">
        <f t="shared" si="3"/>
        <v>1</v>
      </c>
      <c r="J65" s="36"/>
    </row>
    <row r="66" spans="2:10" x14ac:dyDescent="0.3">
      <c r="B66" s="32"/>
      <c r="C66" s="6" t="s">
        <v>272</v>
      </c>
      <c r="D66" s="63">
        <v>0.67</v>
      </c>
      <c r="E66" s="63">
        <v>0</v>
      </c>
      <c r="F66" s="63">
        <v>0.33</v>
      </c>
      <c r="G66" s="63">
        <v>0</v>
      </c>
      <c r="H66" s="63">
        <v>0</v>
      </c>
      <c r="I66" s="66">
        <f>SUM(D66:H66)</f>
        <v>1</v>
      </c>
      <c r="J66" s="205"/>
    </row>
    <row r="67" spans="2:10" x14ac:dyDescent="0.3">
      <c r="B67" s="32"/>
      <c r="C67" s="6" t="s">
        <v>270</v>
      </c>
      <c r="D67" s="63">
        <v>1</v>
      </c>
      <c r="E67" s="63">
        <v>0</v>
      </c>
      <c r="F67" s="63">
        <v>0</v>
      </c>
      <c r="G67" s="63">
        <v>0</v>
      </c>
      <c r="H67" s="63">
        <v>0</v>
      </c>
      <c r="I67" s="66">
        <f>SUM(D67:H67)</f>
        <v>1</v>
      </c>
      <c r="J67" s="205"/>
    </row>
    <row r="68" spans="2:10" x14ac:dyDescent="0.3">
      <c r="B68" s="32"/>
      <c r="C68" s="6" t="s">
        <v>474</v>
      </c>
      <c r="D68" s="63">
        <v>0.67</v>
      </c>
      <c r="E68" s="63">
        <v>0</v>
      </c>
      <c r="F68" s="63">
        <v>0.33</v>
      </c>
      <c r="G68" s="63">
        <v>0</v>
      </c>
      <c r="H68" s="63">
        <v>0</v>
      </c>
      <c r="I68" s="66">
        <f>SUM(D68:H68)</f>
        <v>1</v>
      </c>
      <c r="J68" s="261"/>
    </row>
    <row r="69" spans="2:10" x14ac:dyDescent="0.3">
      <c r="B69" s="32"/>
      <c r="C69" s="6" t="s">
        <v>103</v>
      </c>
      <c r="D69" s="63">
        <v>0</v>
      </c>
      <c r="E69" s="63">
        <v>0</v>
      </c>
      <c r="F69" s="63">
        <v>0.7</v>
      </c>
      <c r="G69" s="63">
        <v>0</v>
      </c>
      <c r="H69" s="63">
        <v>0.3</v>
      </c>
      <c r="I69" s="66">
        <f t="shared" ref="I69:I82" si="6">SUM(D69:H69)</f>
        <v>1</v>
      </c>
      <c r="J69" s="205"/>
    </row>
    <row r="70" spans="2:10" x14ac:dyDescent="0.3">
      <c r="B70" s="32"/>
      <c r="C70" s="6" t="s">
        <v>194</v>
      </c>
      <c r="D70" s="63">
        <v>0</v>
      </c>
      <c r="E70" s="63">
        <v>0</v>
      </c>
      <c r="F70" s="63">
        <v>1</v>
      </c>
      <c r="G70" s="63">
        <v>0</v>
      </c>
      <c r="H70" s="63">
        <v>0</v>
      </c>
      <c r="I70" s="66">
        <f t="shared" si="6"/>
        <v>1</v>
      </c>
      <c r="J70" s="205"/>
    </row>
    <row r="71" spans="2:10" x14ac:dyDescent="0.3">
      <c r="B71" s="32"/>
      <c r="C71" s="6" t="s">
        <v>195</v>
      </c>
      <c r="D71" s="63">
        <v>0.67</v>
      </c>
      <c r="E71" s="63">
        <v>0</v>
      </c>
      <c r="F71" s="63">
        <v>0.13</v>
      </c>
      <c r="G71" s="63">
        <v>0</v>
      </c>
      <c r="H71" s="63">
        <v>0.2</v>
      </c>
      <c r="I71" s="66">
        <f t="shared" si="6"/>
        <v>1</v>
      </c>
      <c r="J71" s="205"/>
    </row>
    <row r="72" spans="2:10" x14ac:dyDescent="0.3">
      <c r="B72" s="32"/>
      <c r="C72" s="6" t="s">
        <v>196</v>
      </c>
      <c r="D72" s="63">
        <v>0.67</v>
      </c>
      <c r="E72" s="63">
        <v>0</v>
      </c>
      <c r="F72" s="63">
        <v>0.13</v>
      </c>
      <c r="G72" s="63">
        <v>0</v>
      </c>
      <c r="H72" s="63">
        <v>0.2</v>
      </c>
      <c r="I72" s="66">
        <f t="shared" si="6"/>
        <v>1</v>
      </c>
      <c r="J72" s="205"/>
    </row>
    <row r="73" spans="2:10" x14ac:dyDescent="0.3">
      <c r="B73" s="32"/>
      <c r="C73" s="6" t="s">
        <v>197</v>
      </c>
      <c r="D73" s="63">
        <v>0.67</v>
      </c>
      <c r="E73" s="63">
        <v>0</v>
      </c>
      <c r="F73" s="63">
        <v>0.13</v>
      </c>
      <c r="G73" s="63">
        <v>0</v>
      </c>
      <c r="H73" s="63">
        <v>0.2</v>
      </c>
      <c r="I73" s="66">
        <f t="shared" si="6"/>
        <v>1</v>
      </c>
      <c r="J73" s="205"/>
    </row>
    <row r="74" spans="2:10" x14ac:dyDescent="0.3">
      <c r="B74" s="32"/>
      <c r="C74" s="76" t="s">
        <v>187</v>
      </c>
      <c r="D74" s="77">
        <v>0.17</v>
      </c>
      <c r="E74" s="77">
        <v>0.17</v>
      </c>
      <c r="F74" s="77">
        <v>0.42</v>
      </c>
      <c r="G74" s="77">
        <v>0.17</v>
      </c>
      <c r="H74" s="77">
        <v>7.0000000000000007E-2</v>
      </c>
      <c r="I74" s="66">
        <f t="shared" si="6"/>
        <v>1</v>
      </c>
      <c r="J74" s="205"/>
    </row>
    <row r="75" spans="2:10" x14ac:dyDescent="0.3">
      <c r="B75" s="32"/>
      <c r="C75" s="6" t="s">
        <v>198</v>
      </c>
      <c r="D75" s="63">
        <v>0.17</v>
      </c>
      <c r="E75" s="63">
        <v>0.17</v>
      </c>
      <c r="F75" s="63">
        <v>0.42</v>
      </c>
      <c r="G75" s="63">
        <v>0.17</v>
      </c>
      <c r="H75" s="63">
        <v>7.0000000000000007E-2</v>
      </c>
      <c r="I75" s="66">
        <f t="shared" si="6"/>
        <v>1</v>
      </c>
      <c r="J75" s="205"/>
    </row>
    <row r="76" spans="2:10" x14ac:dyDescent="0.3">
      <c r="B76" s="32"/>
      <c r="C76" s="6" t="s">
        <v>199</v>
      </c>
      <c r="D76" s="63">
        <v>0.05</v>
      </c>
      <c r="E76" s="63">
        <v>0.05</v>
      </c>
      <c r="F76" s="63">
        <v>0.15</v>
      </c>
      <c r="G76" s="63">
        <v>0</v>
      </c>
      <c r="H76" s="63">
        <v>0.75</v>
      </c>
      <c r="I76" s="66">
        <f t="shared" si="6"/>
        <v>1</v>
      </c>
      <c r="J76" s="205"/>
    </row>
    <row r="77" spans="2:10" x14ac:dyDescent="0.3">
      <c r="B77" s="32"/>
      <c r="C77" s="6" t="s">
        <v>249</v>
      </c>
      <c r="D77" s="63">
        <v>0</v>
      </c>
      <c r="E77" s="63">
        <v>0.05</v>
      </c>
      <c r="F77" s="63">
        <v>0.9</v>
      </c>
      <c r="G77" s="63">
        <v>0</v>
      </c>
      <c r="H77" s="63">
        <v>0.05</v>
      </c>
      <c r="I77" s="66">
        <f t="shared" si="6"/>
        <v>1</v>
      </c>
      <c r="J77" s="205"/>
    </row>
    <row r="78" spans="2:10" x14ac:dyDescent="0.3">
      <c r="B78" s="32"/>
      <c r="C78" s="6" t="s">
        <v>200</v>
      </c>
      <c r="D78" s="63">
        <v>0.05</v>
      </c>
      <c r="E78" s="63">
        <v>0.05</v>
      </c>
      <c r="F78" s="63">
        <v>0.15</v>
      </c>
      <c r="G78" s="63">
        <v>0</v>
      </c>
      <c r="H78" s="63">
        <v>0.75</v>
      </c>
      <c r="I78" s="66">
        <f t="shared" si="6"/>
        <v>1</v>
      </c>
      <c r="J78" s="205"/>
    </row>
    <row r="79" spans="2:10" x14ac:dyDescent="0.3">
      <c r="B79" s="32"/>
      <c r="C79" s="6" t="s">
        <v>201</v>
      </c>
      <c r="D79" s="63">
        <v>0.05</v>
      </c>
      <c r="E79" s="63">
        <v>0.05</v>
      </c>
      <c r="F79" s="63">
        <v>0.15</v>
      </c>
      <c r="G79" s="63">
        <v>0</v>
      </c>
      <c r="H79" s="63">
        <v>0.75</v>
      </c>
      <c r="I79" s="66">
        <f t="shared" si="6"/>
        <v>1</v>
      </c>
      <c r="J79" s="205"/>
    </row>
    <row r="80" spans="2:10" x14ac:dyDescent="0.3">
      <c r="B80" s="32"/>
      <c r="C80" s="6" t="s">
        <v>202</v>
      </c>
      <c r="D80" s="63">
        <v>0</v>
      </c>
      <c r="E80" s="63">
        <v>0</v>
      </c>
      <c r="F80" s="63">
        <v>0.7</v>
      </c>
      <c r="G80" s="63">
        <v>0</v>
      </c>
      <c r="H80" s="63">
        <v>0.3</v>
      </c>
      <c r="I80" s="66">
        <f t="shared" si="6"/>
        <v>1</v>
      </c>
      <c r="J80" s="205"/>
    </row>
    <row r="81" spans="2:10" x14ac:dyDescent="0.3">
      <c r="B81" s="32"/>
      <c r="C81" s="6" t="s">
        <v>203</v>
      </c>
      <c r="D81" s="63">
        <v>0</v>
      </c>
      <c r="E81" s="63">
        <v>0</v>
      </c>
      <c r="F81" s="63">
        <v>0.5</v>
      </c>
      <c r="G81" s="63">
        <v>0</v>
      </c>
      <c r="H81" s="63">
        <v>0.5</v>
      </c>
      <c r="I81" s="66">
        <f t="shared" si="6"/>
        <v>1</v>
      </c>
      <c r="J81" s="205"/>
    </row>
    <row r="82" spans="2:10" x14ac:dyDescent="0.3">
      <c r="B82" s="32"/>
      <c r="C82" s="76" t="s">
        <v>186</v>
      </c>
      <c r="D82" s="77">
        <v>0</v>
      </c>
      <c r="E82" s="77">
        <v>0.3</v>
      </c>
      <c r="F82" s="77">
        <v>0.6</v>
      </c>
      <c r="G82" s="77">
        <v>0.1</v>
      </c>
      <c r="H82" s="77">
        <v>0</v>
      </c>
      <c r="I82" s="66">
        <f t="shared" si="6"/>
        <v>0.99999999999999989</v>
      </c>
      <c r="J82" s="205"/>
    </row>
    <row r="83" spans="2:10" x14ac:dyDescent="0.3">
      <c r="B83" s="32"/>
      <c r="C83" s="6" t="s">
        <v>247</v>
      </c>
      <c r="D83" s="63">
        <v>0.05</v>
      </c>
      <c r="E83" s="63">
        <v>0.05</v>
      </c>
      <c r="F83" s="63">
        <v>0.15</v>
      </c>
      <c r="G83" s="63">
        <v>0</v>
      </c>
      <c r="H83" s="63">
        <v>0.75</v>
      </c>
      <c r="I83" s="66">
        <f>SUM(D83:H83)</f>
        <v>1</v>
      </c>
      <c r="J83" s="205"/>
    </row>
    <row r="84" spans="2:10" x14ac:dyDescent="0.3">
      <c r="B84" s="32"/>
      <c r="C84" s="6" t="s">
        <v>242</v>
      </c>
      <c r="D84" s="63">
        <v>0.05</v>
      </c>
      <c r="E84" s="63">
        <v>0.05</v>
      </c>
      <c r="F84" s="63">
        <v>0.15</v>
      </c>
      <c r="G84" s="63">
        <v>0</v>
      </c>
      <c r="H84" s="63">
        <v>0.75</v>
      </c>
      <c r="I84" s="66">
        <f t="shared" ref="I84:I86" si="7">SUM(D84:H84)</f>
        <v>1</v>
      </c>
      <c r="J84" s="205"/>
    </row>
    <row r="85" spans="2:10" x14ac:dyDescent="0.3">
      <c r="B85" s="32"/>
      <c r="C85" s="6" t="s">
        <v>243</v>
      </c>
      <c r="D85" s="63">
        <v>0.05</v>
      </c>
      <c r="E85" s="63">
        <v>0.05</v>
      </c>
      <c r="F85" s="63">
        <v>0.15</v>
      </c>
      <c r="G85" s="63">
        <v>0</v>
      </c>
      <c r="H85" s="63">
        <v>0.75</v>
      </c>
      <c r="I85" s="66">
        <f t="shared" si="7"/>
        <v>1</v>
      </c>
      <c r="J85" s="205"/>
    </row>
    <row r="86" spans="2:10" x14ac:dyDescent="0.3">
      <c r="B86" s="32"/>
      <c r="C86" s="6" t="s">
        <v>204</v>
      </c>
      <c r="D86" s="63">
        <v>0</v>
      </c>
      <c r="E86" s="63">
        <v>0</v>
      </c>
      <c r="F86" s="63">
        <v>0.2</v>
      </c>
      <c r="G86" s="63">
        <v>0</v>
      </c>
      <c r="H86" s="63">
        <v>0.8</v>
      </c>
      <c r="I86" s="66">
        <f t="shared" si="7"/>
        <v>1</v>
      </c>
      <c r="J86" s="205"/>
    </row>
    <row r="87" spans="2:10" x14ac:dyDescent="0.3">
      <c r="B87" s="32"/>
      <c r="C87" s="6" t="s">
        <v>271</v>
      </c>
      <c r="D87" s="63">
        <v>0.05</v>
      </c>
      <c r="E87" s="63">
        <v>0.05</v>
      </c>
      <c r="F87" s="63">
        <v>0.15</v>
      </c>
      <c r="G87" s="63">
        <v>0</v>
      </c>
      <c r="H87" s="63">
        <v>0.75</v>
      </c>
      <c r="I87" s="66">
        <f>SUM(D88:H88)</f>
        <v>1</v>
      </c>
      <c r="J87" s="205"/>
    </row>
    <row r="88" spans="2:10" x14ac:dyDescent="0.3">
      <c r="B88" s="32"/>
      <c r="C88" s="6" t="s">
        <v>239</v>
      </c>
      <c r="D88" s="63">
        <v>0</v>
      </c>
      <c r="E88" s="63">
        <v>0</v>
      </c>
      <c r="F88" s="63">
        <v>0.2</v>
      </c>
      <c r="G88" s="63">
        <v>0</v>
      </c>
      <c r="H88" s="63">
        <v>0.8</v>
      </c>
      <c r="I88" s="66">
        <f>SUM(D89:H89)</f>
        <v>1</v>
      </c>
      <c r="J88" s="205"/>
    </row>
    <row r="89" spans="2:10" x14ac:dyDescent="0.3">
      <c r="B89" s="32"/>
      <c r="C89" s="6" t="s">
        <v>240</v>
      </c>
      <c r="D89" s="63">
        <v>0</v>
      </c>
      <c r="E89" s="63">
        <v>0</v>
      </c>
      <c r="F89" s="63">
        <v>0.2</v>
      </c>
      <c r="G89" s="63">
        <v>0</v>
      </c>
      <c r="H89" s="63">
        <v>0.8</v>
      </c>
      <c r="I89" s="66">
        <f>SUM(D87:H87)</f>
        <v>1</v>
      </c>
      <c r="J89" s="205"/>
    </row>
    <row r="90" spans="2:10" x14ac:dyDescent="0.3">
      <c r="B90" s="32"/>
      <c r="C90" s="6" t="s">
        <v>244</v>
      </c>
      <c r="D90" s="63">
        <v>0</v>
      </c>
      <c r="E90" s="63">
        <v>0</v>
      </c>
      <c r="F90" s="63">
        <v>0.9</v>
      </c>
      <c r="G90" s="63">
        <v>0</v>
      </c>
      <c r="H90" s="63">
        <v>0.1</v>
      </c>
      <c r="I90" s="66">
        <f t="shared" ref="I90:I93" si="8">SUM(D90:H90)</f>
        <v>1</v>
      </c>
      <c r="J90" s="205"/>
    </row>
    <row r="91" spans="2:10" x14ac:dyDescent="0.3">
      <c r="B91" s="32"/>
      <c r="C91" s="6" t="s">
        <v>245</v>
      </c>
      <c r="D91" s="63">
        <v>0</v>
      </c>
      <c r="E91" s="63">
        <v>0</v>
      </c>
      <c r="F91" s="63">
        <v>0.9</v>
      </c>
      <c r="G91" s="63">
        <v>0</v>
      </c>
      <c r="H91" s="63">
        <v>0.1</v>
      </c>
      <c r="I91" s="66">
        <f t="shared" si="8"/>
        <v>1</v>
      </c>
      <c r="J91" s="205"/>
    </row>
    <row r="92" spans="2:10" x14ac:dyDescent="0.3">
      <c r="B92" s="32"/>
      <c r="C92" s="6" t="s">
        <v>209</v>
      </c>
      <c r="D92" s="63">
        <v>0</v>
      </c>
      <c r="E92" s="63">
        <v>0</v>
      </c>
      <c r="F92" s="63">
        <v>0.3</v>
      </c>
      <c r="G92" s="63">
        <v>0</v>
      </c>
      <c r="H92" s="63">
        <v>0.7</v>
      </c>
      <c r="I92" s="66">
        <f t="shared" si="8"/>
        <v>1</v>
      </c>
      <c r="J92" s="205"/>
    </row>
    <row r="93" spans="2:10" x14ac:dyDescent="0.3">
      <c r="B93" s="32"/>
      <c r="C93" s="6" t="s">
        <v>248</v>
      </c>
      <c r="D93" s="63">
        <v>0.05</v>
      </c>
      <c r="E93" s="63">
        <v>0.15</v>
      </c>
      <c r="F93" s="63">
        <v>0.4</v>
      </c>
      <c r="G93" s="63">
        <v>0</v>
      </c>
      <c r="H93" s="63">
        <v>0.4</v>
      </c>
      <c r="I93" s="66">
        <f t="shared" si="8"/>
        <v>1</v>
      </c>
      <c r="J93" s="205"/>
    </row>
    <row r="94" spans="2:10" x14ac:dyDescent="0.3">
      <c r="B94" s="32"/>
      <c r="C94" s="6" t="s">
        <v>246</v>
      </c>
      <c r="D94" s="63">
        <v>0.05</v>
      </c>
      <c r="E94" s="63">
        <v>0.15</v>
      </c>
      <c r="F94" s="63">
        <v>0.4</v>
      </c>
      <c r="G94" s="63">
        <v>0</v>
      </c>
      <c r="H94" s="63">
        <v>0.4</v>
      </c>
      <c r="I94" s="66">
        <v>1</v>
      </c>
      <c r="J94" s="116"/>
    </row>
    <row r="95" spans="2:10" x14ac:dyDescent="0.3">
      <c r="B95" s="32"/>
      <c r="C95" s="6" t="s">
        <v>238</v>
      </c>
      <c r="D95" s="63">
        <v>0.75</v>
      </c>
      <c r="E95" s="63">
        <v>0</v>
      </c>
      <c r="F95" s="63">
        <v>0</v>
      </c>
      <c r="G95" s="63">
        <v>0.05</v>
      </c>
      <c r="H95" s="63">
        <v>0.2</v>
      </c>
      <c r="I95" s="66">
        <v>1</v>
      </c>
      <c r="J95" s="116"/>
    </row>
    <row r="96" spans="2:10" x14ac:dyDescent="0.3">
      <c r="B96" s="32"/>
      <c r="C96" s="6" t="s">
        <v>251</v>
      </c>
      <c r="D96" s="63">
        <v>0</v>
      </c>
      <c r="E96" s="63">
        <v>0</v>
      </c>
      <c r="F96" s="63">
        <v>1</v>
      </c>
      <c r="G96" s="63">
        <v>0</v>
      </c>
      <c r="H96" s="63">
        <v>0</v>
      </c>
      <c r="I96" s="66">
        <v>1</v>
      </c>
      <c r="J96" s="116"/>
    </row>
    <row r="97" spans="2:10" x14ac:dyDescent="0.3">
      <c r="B97" s="32"/>
      <c r="C97" s="6" t="s">
        <v>252</v>
      </c>
      <c r="D97" s="63">
        <v>0</v>
      </c>
      <c r="E97" s="63">
        <v>0</v>
      </c>
      <c r="F97" s="63">
        <v>1</v>
      </c>
      <c r="G97" s="63">
        <v>0</v>
      </c>
      <c r="H97" s="63">
        <v>0</v>
      </c>
      <c r="I97" s="66">
        <v>1</v>
      </c>
      <c r="J97" s="116"/>
    </row>
    <row r="98" spans="2:10" x14ac:dyDescent="0.3">
      <c r="B98" s="33"/>
      <c r="C98" s="6" t="s">
        <v>5</v>
      </c>
      <c r="D98" s="63">
        <v>0.1</v>
      </c>
      <c r="E98" s="63">
        <v>0.1</v>
      </c>
      <c r="F98" s="63">
        <v>0.1</v>
      </c>
      <c r="G98" s="63">
        <v>0</v>
      </c>
      <c r="H98" s="63">
        <v>0.7</v>
      </c>
      <c r="I98" s="66">
        <v>1</v>
      </c>
      <c r="J98" s="36"/>
    </row>
    <row r="99" spans="2:10" x14ac:dyDescent="0.3">
      <c r="B99" s="24" t="s">
        <v>365</v>
      </c>
    </row>
  </sheetData>
  <hyperlinks>
    <hyperlink ref="B2" location="Contents!A1" display="Table of Contents" xr:uid="{00000000-0004-0000-0300-000000000000}"/>
  </hyperlinks>
  <pageMargins left="0.7" right="0.7" top="0.75" bottom="0.75" header="0.3" footer="0.3"/>
  <pageSetup paperSize="9" scale="33" orientation="landscape"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W56"/>
  <sheetViews>
    <sheetView zoomScale="85" zoomScaleNormal="85" zoomScalePageLayoutView="125" workbookViewId="0">
      <selection activeCell="L6" sqref="L6"/>
    </sheetView>
  </sheetViews>
  <sheetFormatPr defaultColWidth="8.88671875" defaultRowHeight="14.4" outlineLevelRow="1" outlineLevelCol="1" x14ac:dyDescent="0.3"/>
  <cols>
    <col min="1" max="1" width="4.6640625" style="1" customWidth="1"/>
    <col min="2" max="2" width="5.33203125" style="1" customWidth="1"/>
    <col min="3" max="3" width="48.6640625" style="1" customWidth="1"/>
    <col min="4" max="10" width="8.5546875" style="1" hidden="1" customWidth="1" outlineLevel="1"/>
    <col min="11" max="11" width="8.5546875" style="1" customWidth="1" collapsed="1"/>
    <col min="12" max="16" width="8.5546875" style="1" customWidth="1"/>
    <col min="17" max="17" width="9" style="1" customWidth="1"/>
    <col min="18" max="22" width="8.5546875" style="1" customWidth="1"/>
    <col min="23" max="16384" width="8.88671875" style="1"/>
  </cols>
  <sheetData>
    <row r="1" spans="2:22" ht="21" x14ac:dyDescent="0.4">
      <c r="B1" s="11" t="s">
        <v>143</v>
      </c>
    </row>
    <row r="2" spans="2:22" x14ac:dyDescent="0.3">
      <c r="B2" s="25" t="s">
        <v>6</v>
      </c>
    </row>
    <row r="4" spans="2:22" x14ac:dyDescent="0.3">
      <c r="B4" s="2" t="s">
        <v>169</v>
      </c>
    </row>
    <row r="5" spans="2:22" x14ac:dyDescent="0.3">
      <c r="B5" s="2"/>
      <c r="L5" s="226"/>
    </row>
    <row r="6" spans="2:22" x14ac:dyDescent="0.3">
      <c r="B6" s="2"/>
      <c r="C6" s="6" t="s">
        <v>351</v>
      </c>
      <c r="D6" s="29">
        <v>39721</v>
      </c>
      <c r="E6" s="29">
        <f>EDATE(D6,12)</f>
        <v>40086</v>
      </c>
      <c r="F6" s="29">
        <f t="shared" ref="F6:I6" si="0">EDATE(E6,12)</f>
        <v>40451</v>
      </c>
      <c r="G6" s="29">
        <f t="shared" si="0"/>
        <v>40816</v>
      </c>
      <c r="H6" s="29">
        <f t="shared" si="0"/>
        <v>41182</v>
      </c>
      <c r="I6" s="29">
        <f t="shared" si="0"/>
        <v>41547</v>
      </c>
      <c r="J6" s="29">
        <f>EDATE(I6,12)</f>
        <v>41912</v>
      </c>
      <c r="K6" s="29">
        <v>42156</v>
      </c>
      <c r="L6" s="29">
        <f>EDATE(K6,12)</f>
        <v>42522</v>
      </c>
      <c r="M6" s="29">
        <f t="shared" ref="M6:O6" si="1">EDATE(L6,12)</f>
        <v>42887</v>
      </c>
      <c r="N6" s="29">
        <f t="shared" si="1"/>
        <v>43252</v>
      </c>
      <c r="O6" s="29">
        <f t="shared" si="1"/>
        <v>43617</v>
      </c>
      <c r="P6" s="110">
        <v>43831</v>
      </c>
      <c r="Q6" s="29">
        <f>EDATE(O6,12)</f>
        <v>43983</v>
      </c>
      <c r="R6" s="29">
        <f t="shared" ref="R6" si="2">EDATE(Q6,12)</f>
        <v>44348</v>
      </c>
      <c r="S6" s="29">
        <f t="shared" ref="S6" si="3">EDATE(R6,12)</f>
        <v>44713</v>
      </c>
      <c r="T6" s="29">
        <f t="shared" ref="T6" si="4">EDATE(S6,12)</f>
        <v>45078</v>
      </c>
      <c r="U6" s="29">
        <f t="shared" ref="U6:V6" si="5">EDATE(T6,12)</f>
        <v>45444</v>
      </c>
      <c r="V6" s="29">
        <f t="shared" si="5"/>
        <v>45809</v>
      </c>
    </row>
    <row r="7" spans="2:22" x14ac:dyDescent="0.3">
      <c r="B7" s="2"/>
      <c r="C7" s="6"/>
      <c r="D7" s="29" t="s">
        <v>285</v>
      </c>
      <c r="E7" s="29" t="s">
        <v>285</v>
      </c>
      <c r="F7" s="29" t="s">
        <v>285</v>
      </c>
      <c r="G7" s="29" t="s">
        <v>285</v>
      </c>
      <c r="H7" s="29" t="s">
        <v>285</v>
      </c>
      <c r="I7" s="29" t="s">
        <v>285</v>
      </c>
      <c r="J7" s="29" t="s">
        <v>285</v>
      </c>
      <c r="K7" s="29" t="s">
        <v>285</v>
      </c>
      <c r="L7" s="29" t="s">
        <v>285</v>
      </c>
      <c r="M7" s="29" t="s">
        <v>285</v>
      </c>
      <c r="N7" s="29" t="s">
        <v>285</v>
      </c>
      <c r="O7" s="29" t="s">
        <v>285</v>
      </c>
      <c r="P7" s="29" t="s">
        <v>286</v>
      </c>
      <c r="Q7" s="29" t="s">
        <v>286</v>
      </c>
      <c r="R7" s="29" t="s">
        <v>286</v>
      </c>
      <c r="S7" s="29" t="s">
        <v>286</v>
      </c>
      <c r="T7" s="29" t="s">
        <v>286</v>
      </c>
      <c r="U7" s="29" t="s">
        <v>286</v>
      </c>
      <c r="V7" s="29" t="s">
        <v>286</v>
      </c>
    </row>
    <row r="8" spans="2:22" x14ac:dyDescent="0.3">
      <c r="B8" s="2"/>
      <c r="C8" s="6" t="s">
        <v>42</v>
      </c>
      <c r="D8" s="190">
        <v>2009</v>
      </c>
      <c r="E8" s="190">
        <v>2010</v>
      </c>
      <c r="F8" s="190">
        <v>2011</v>
      </c>
      <c r="G8" s="190">
        <v>2012</v>
      </c>
      <c r="H8" s="190">
        <v>2013</v>
      </c>
      <c r="I8" s="190">
        <v>2014</v>
      </c>
      <c r="J8" s="190">
        <v>2015</v>
      </c>
      <c r="K8" s="190">
        <v>2016</v>
      </c>
      <c r="L8" s="190">
        <v>2017</v>
      </c>
      <c r="M8" s="190">
        <v>2018</v>
      </c>
      <c r="N8" s="190">
        <v>2019</v>
      </c>
      <c r="O8" s="190">
        <v>2020</v>
      </c>
      <c r="P8" s="189" t="s">
        <v>405</v>
      </c>
      <c r="Q8" s="190">
        <v>2021</v>
      </c>
      <c r="R8" s="190">
        <v>2022</v>
      </c>
      <c r="S8" s="190">
        <v>2023</v>
      </c>
      <c r="T8" s="190">
        <v>2024</v>
      </c>
      <c r="U8" s="190">
        <v>2025</v>
      </c>
      <c r="V8" s="190">
        <v>2026</v>
      </c>
    </row>
    <row r="9" spans="2:22" hidden="1" outlineLevel="1" x14ac:dyDescent="0.3">
      <c r="B9" s="2"/>
      <c r="C9" s="6" t="s">
        <v>352</v>
      </c>
      <c r="D9" s="72">
        <v>166.5</v>
      </c>
      <c r="E9" s="72">
        <v>168.6</v>
      </c>
      <c r="F9" s="72">
        <v>173.3</v>
      </c>
      <c r="G9" s="72">
        <v>179.4</v>
      </c>
      <c r="H9" s="186"/>
      <c r="I9" s="186"/>
      <c r="J9" s="186"/>
      <c r="K9" s="186"/>
      <c r="L9" s="186"/>
      <c r="M9" s="186"/>
      <c r="N9" s="186"/>
      <c r="O9" s="186"/>
      <c r="P9" s="186"/>
      <c r="Q9" s="186"/>
      <c r="R9" s="186"/>
      <c r="S9" s="186"/>
      <c r="T9" s="186"/>
      <c r="U9" s="186"/>
      <c r="V9" s="186"/>
    </row>
    <row r="10" spans="2:22" hidden="1" outlineLevel="1" x14ac:dyDescent="0.3">
      <c r="B10" s="2"/>
      <c r="C10" s="6" t="s">
        <v>353</v>
      </c>
      <c r="D10" s="187"/>
      <c r="E10" s="187"/>
      <c r="F10" s="187"/>
      <c r="G10" s="100">
        <v>99.8</v>
      </c>
      <c r="H10" s="100">
        <v>101.8</v>
      </c>
      <c r="I10" s="100">
        <v>104</v>
      </c>
      <c r="J10" s="100">
        <v>106.4</v>
      </c>
      <c r="K10" s="311"/>
      <c r="L10" s="311"/>
      <c r="M10" s="311"/>
      <c r="N10" s="311"/>
      <c r="O10" s="311"/>
      <c r="P10" s="311"/>
      <c r="Q10" s="311"/>
      <c r="R10" s="311"/>
      <c r="S10" s="311"/>
      <c r="T10" s="311"/>
      <c r="U10" s="311"/>
      <c r="V10" s="311"/>
    </row>
    <row r="11" spans="2:22" collapsed="1" x14ac:dyDescent="0.3">
      <c r="B11" s="2"/>
      <c r="C11" s="6" t="s">
        <v>514</v>
      </c>
      <c r="D11" s="187"/>
      <c r="E11" s="187"/>
      <c r="F11" s="187"/>
      <c r="G11" s="312"/>
      <c r="H11" s="312"/>
      <c r="I11" s="312"/>
      <c r="J11" s="312"/>
      <c r="K11" s="235">
        <v>107.5</v>
      </c>
      <c r="L11" s="100">
        <v>108.6</v>
      </c>
      <c r="M11" s="100">
        <v>110.7</v>
      </c>
      <c r="N11" s="100">
        <v>113</v>
      </c>
      <c r="O11" s="100">
        <v>114.8</v>
      </c>
      <c r="P11" s="100">
        <f>(1+Q12)^0.5*O11</f>
        <v>115.94231669239666</v>
      </c>
      <c r="Q11" s="100">
        <v>117.096</v>
      </c>
      <c r="R11" s="100">
        <f>Q11*(1+R12)</f>
        <v>119.96485199999999</v>
      </c>
      <c r="S11" s="100">
        <f>R11*(1+S12)</f>
        <v>122.90399087399999</v>
      </c>
      <c r="T11" s="100">
        <f>S11*(1+T12)</f>
        <v>125.91513865041298</v>
      </c>
      <c r="U11" s="100">
        <f>T11*(1+U12)</f>
        <v>129.00005954734809</v>
      </c>
      <c r="V11" s="100">
        <f>U11*(1+V12)</f>
        <v>132.16056100625812</v>
      </c>
    </row>
    <row r="12" spans="2:22" x14ac:dyDescent="0.3">
      <c r="B12" s="2"/>
      <c r="C12" s="6" t="s">
        <v>306</v>
      </c>
      <c r="D12" s="27">
        <f>D9/158.6-1</f>
        <v>4.9810844892812067E-2</v>
      </c>
      <c r="E12" s="27">
        <f>E9/D9-1</f>
        <v>1.2612612612612484E-2</v>
      </c>
      <c r="F12" s="27">
        <f t="shared" ref="F12:G12" si="6">F9/E9-1</f>
        <v>2.7876631079478242E-2</v>
      </c>
      <c r="G12" s="27">
        <f t="shared" si="6"/>
        <v>3.5199076745527913E-2</v>
      </c>
      <c r="H12" s="27">
        <f>H10/G10-1</f>
        <v>2.0040080160320661E-2</v>
      </c>
      <c r="I12" s="27">
        <f t="shared" ref="I12:J12" si="7">I10/H10-1</f>
        <v>2.16110019646365E-2</v>
      </c>
      <c r="J12" s="27">
        <f t="shared" si="7"/>
        <v>2.3076923076923217E-2</v>
      </c>
      <c r="K12" s="112">
        <f>K11/105.9-1</f>
        <v>1.5108593012275628E-2</v>
      </c>
      <c r="L12" s="112">
        <f>L11/K11-1</f>
        <v>1.0232558139534831E-2</v>
      </c>
      <c r="M12" s="112">
        <f>M11/L11-1</f>
        <v>1.9337016574585641E-2</v>
      </c>
      <c r="N12" s="112">
        <f>N11/M11-1</f>
        <v>2.0776874435411097E-2</v>
      </c>
      <c r="O12" s="112">
        <f>O11/N11-1</f>
        <v>1.5929203539823078E-2</v>
      </c>
      <c r="P12" s="267">
        <f>P11/O11-1</f>
        <v>9.9504938362078299E-3</v>
      </c>
      <c r="Q12" s="267">
        <f>Q11/O11-1</f>
        <v>2.0000000000000018E-2</v>
      </c>
      <c r="R12" s="234">
        <v>2.4500000000000001E-2</v>
      </c>
      <c r="S12" s="234">
        <v>2.4500000000000001E-2</v>
      </c>
      <c r="T12" s="234">
        <v>2.4500000000000001E-2</v>
      </c>
      <c r="U12" s="234">
        <v>2.4500000000000001E-2</v>
      </c>
      <c r="V12" s="234">
        <v>2.4500000000000001E-2</v>
      </c>
    </row>
    <row r="13" spans="2:22" x14ac:dyDescent="0.3">
      <c r="B13" s="2"/>
      <c r="C13" s="6" t="s">
        <v>455</v>
      </c>
      <c r="D13" s="27"/>
      <c r="E13" s="27"/>
      <c r="F13" s="27"/>
      <c r="G13" s="27"/>
      <c r="H13" s="27"/>
      <c r="I13" s="64"/>
      <c r="J13" s="188">
        <v>1</v>
      </c>
      <c r="K13" s="220">
        <f>J13*(1+K12)</f>
        <v>1.0151085930122756</v>
      </c>
      <c r="L13" s="220">
        <f t="shared" ref="L13:V13" si="8">K13*(1+L12)</f>
        <v>1.0254957507082152</v>
      </c>
      <c r="M13" s="220">
        <f t="shared" si="8"/>
        <v>1.0453257790368271</v>
      </c>
      <c r="N13" s="220">
        <f t="shared" si="8"/>
        <v>1.0670443814919734</v>
      </c>
      <c r="O13" s="220">
        <f t="shared" si="8"/>
        <v>1.0840415486307837</v>
      </c>
      <c r="P13" s="220">
        <f t="shared" si="8"/>
        <v>1.0948282973786276</v>
      </c>
      <c r="Q13" s="220">
        <f t="shared" si="8"/>
        <v>1.1167248633262001</v>
      </c>
      <c r="R13" s="220">
        <f t="shared" si="8"/>
        <v>1.1440846224776919</v>
      </c>
      <c r="S13" s="220">
        <f t="shared" si="8"/>
        <v>1.1721146957283954</v>
      </c>
      <c r="T13" s="220">
        <f t="shared" si="8"/>
        <v>1.2008315057737411</v>
      </c>
      <c r="U13" s="220">
        <f t="shared" si="8"/>
        <v>1.2302518776651976</v>
      </c>
      <c r="V13" s="220">
        <f t="shared" si="8"/>
        <v>1.2603930486679948</v>
      </c>
    </row>
    <row r="14" spans="2:22" x14ac:dyDescent="0.3">
      <c r="B14" s="2"/>
      <c r="C14" s="6" t="s">
        <v>388</v>
      </c>
      <c r="D14" s="27"/>
      <c r="E14" s="27"/>
      <c r="F14" s="27"/>
      <c r="G14" s="220"/>
      <c r="H14" s="220"/>
      <c r="I14" s="220"/>
      <c r="J14" s="220"/>
      <c r="K14" s="220"/>
      <c r="L14" s="220"/>
      <c r="M14" s="220">
        <v>1</v>
      </c>
      <c r="N14" s="220">
        <f>M14*(1+N12)</f>
        <v>1.0207768744354111</v>
      </c>
      <c r="O14" s="220">
        <f t="shared" ref="O14:V14" si="9">N14*(1+O12)</f>
        <v>1.0370370370370372</v>
      </c>
      <c r="P14" s="220">
        <f t="shared" si="9"/>
        <v>1.0473560676819935</v>
      </c>
      <c r="Q14" s="220">
        <f>O14*(1+Q12)</f>
        <v>1.0577777777777779</v>
      </c>
      <c r="R14" s="220">
        <f t="shared" si="9"/>
        <v>1.0836933333333334</v>
      </c>
      <c r="S14" s="220">
        <f t="shared" si="9"/>
        <v>1.11024382</v>
      </c>
      <c r="T14" s="220">
        <f t="shared" si="9"/>
        <v>1.1374447935900001</v>
      </c>
      <c r="U14" s="220">
        <f t="shared" si="9"/>
        <v>1.1653121910329549</v>
      </c>
      <c r="V14" s="220">
        <f t="shared" si="9"/>
        <v>1.1938623397132622</v>
      </c>
    </row>
    <row r="15" spans="2:22" x14ac:dyDescent="0.3">
      <c r="B15" s="2"/>
      <c r="C15" s="6" t="s">
        <v>406</v>
      </c>
      <c r="D15" s="27"/>
      <c r="E15" s="112"/>
      <c r="F15" s="112"/>
      <c r="G15" s="112"/>
      <c r="H15" s="112"/>
      <c r="I15" s="111"/>
      <c r="J15" s="64"/>
      <c r="K15" s="64"/>
      <c r="L15" s="64"/>
      <c r="M15" s="64"/>
      <c r="N15" s="64"/>
      <c r="O15" s="64">
        <f>P15/(1+P12)</f>
        <v>0.99014754297667429</v>
      </c>
      <c r="P15" s="64">
        <v>1</v>
      </c>
      <c r="Q15" s="64">
        <f t="shared" ref="Q15:V15" si="10">Q11/$P$11</f>
        <v>1.0099504938362078</v>
      </c>
      <c r="R15" s="64">
        <f t="shared" si="10"/>
        <v>1.0346942809351949</v>
      </c>
      <c r="S15" s="64">
        <f t="shared" si="10"/>
        <v>1.0600442908181069</v>
      </c>
      <c r="T15" s="64">
        <f t="shared" si="10"/>
        <v>1.0860153759431506</v>
      </c>
      <c r="U15" s="64">
        <f t="shared" si="10"/>
        <v>1.1126227526537578</v>
      </c>
      <c r="V15" s="64">
        <f t="shared" si="10"/>
        <v>1.1398820100937748</v>
      </c>
    </row>
    <row r="16" spans="2:22" x14ac:dyDescent="0.3">
      <c r="B16" s="2"/>
      <c r="C16" s="6" t="s">
        <v>407</v>
      </c>
      <c r="D16" s="82">
        <f t="shared" ref="D16:J16" si="11">(1+E$12)*E16</f>
        <v>1.2576659452773915</v>
      </c>
      <c r="E16" s="82">
        <f t="shared" si="11"/>
        <v>1.2420010669554313</v>
      </c>
      <c r="F16" s="82">
        <f t="shared" si="11"/>
        <v>1.2083172526756243</v>
      </c>
      <c r="G16" s="82">
        <f t="shared" si="11"/>
        <v>1.1672317719547698</v>
      </c>
      <c r="H16" s="82">
        <f t="shared" si="11"/>
        <v>1.1442999100303146</v>
      </c>
      <c r="I16" s="82">
        <f t="shared" si="11"/>
        <v>1.1200935657796733</v>
      </c>
      <c r="J16" s="82">
        <f t="shared" si="11"/>
        <v>1.0948282973786279</v>
      </c>
      <c r="K16" s="82">
        <f t="shared" ref="K16:N16" si="12">(1+L$12)*L16</f>
        <v>1.0785331785339227</v>
      </c>
      <c r="L16" s="82">
        <f t="shared" si="12"/>
        <v>1.0676088093222531</v>
      </c>
      <c r="M16" s="82">
        <f t="shared" si="12"/>
        <v>1.0473560676819935</v>
      </c>
      <c r="N16" s="82">
        <f t="shared" si="12"/>
        <v>1.0260382008176696</v>
      </c>
      <c r="O16" s="82">
        <f>(1+P$12)*P16</f>
        <v>1.0099504938362078</v>
      </c>
      <c r="P16" s="64">
        <v>1</v>
      </c>
      <c r="Q16" s="6"/>
      <c r="R16" s="6"/>
      <c r="S16" s="6"/>
      <c r="T16" s="6"/>
      <c r="U16" s="6"/>
      <c r="V16" s="6"/>
    </row>
    <row r="17" spans="2:22" x14ac:dyDescent="0.3">
      <c r="B17" s="2"/>
      <c r="C17" s="6" t="s">
        <v>602</v>
      </c>
      <c r="D17" s="82"/>
      <c r="E17" s="82"/>
      <c r="F17" s="82"/>
      <c r="G17" s="82"/>
      <c r="H17" s="82"/>
      <c r="I17" s="82"/>
      <c r="J17" s="82"/>
      <c r="K17" s="82">
        <f t="shared" ref="K17:N17" si="13">$Q$11/K11</f>
        <v>1.0892651162790699</v>
      </c>
      <c r="L17" s="82">
        <f t="shared" si="13"/>
        <v>1.0782320441988951</v>
      </c>
      <c r="M17" s="82">
        <f t="shared" si="13"/>
        <v>1.0577777777777777</v>
      </c>
      <c r="N17" s="82">
        <f t="shared" si="13"/>
        <v>1.0362477876106195</v>
      </c>
      <c r="O17" s="82">
        <f>$Q$11/O11</f>
        <v>1.02</v>
      </c>
      <c r="P17" s="82">
        <f>$Q$11/P11</f>
        <v>1.0099504938362078</v>
      </c>
      <c r="Q17" s="64">
        <v>1</v>
      </c>
      <c r="R17" s="64">
        <f>$Q$11/R11</f>
        <v>0.97608589555880931</v>
      </c>
      <c r="S17" s="64">
        <f t="shared" ref="S17:V17" si="14">$Q$11/S11</f>
        <v>0.95274367550884265</v>
      </c>
      <c r="T17" s="64">
        <f t="shared" si="14"/>
        <v>0.9299596637470402</v>
      </c>
      <c r="U17" s="64">
        <f t="shared" si="14"/>
        <v>0.90772051122209885</v>
      </c>
      <c r="V17" s="64">
        <f t="shared" si="14"/>
        <v>0.88601318811332241</v>
      </c>
    </row>
    <row r="18" spans="2:22" x14ac:dyDescent="0.3">
      <c r="B18" s="2"/>
      <c r="C18" s="65" t="s">
        <v>305</v>
      </c>
      <c r="D18" s="64">
        <f t="shared" ref="D18:F18" si="15">(1+E$12)*E18</f>
        <v>1.1228222210186136</v>
      </c>
      <c r="E18" s="64">
        <f t="shared" si="15"/>
        <v>1.1088368908635777</v>
      </c>
      <c r="F18" s="64">
        <f t="shared" si="15"/>
        <v>1.0787645689532555</v>
      </c>
      <c r="G18" s="64">
        <f>(1+H$12)*H18</f>
        <v>1.0420841683366733</v>
      </c>
      <c r="H18" s="64">
        <f>1*(1+I$12)</f>
        <v>1.0216110019646365</v>
      </c>
      <c r="I18" s="64">
        <v>1</v>
      </c>
      <c r="J18" s="64">
        <f>I18/(1+J12)</f>
        <v>0.97744360902255623</v>
      </c>
      <c r="K18" s="64">
        <f t="shared" ref="K18:O18" si="16">J18/(1+K12)</f>
        <v>0.96289561112082522</v>
      </c>
      <c r="L18" s="64">
        <f t="shared" si="16"/>
        <v>0.95314252482033812</v>
      </c>
      <c r="M18" s="64">
        <f t="shared" si="16"/>
        <v>0.93506123031155119</v>
      </c>
      <c r="N18" s="64">
        <f t="shared" si="16"/>
        <v>0.91602901057954611</v>
      </c>
      <c r="O18" s="64">
        <f t="shared" si="16"/>
        <v>0.90166618637185281</v>
      </c>
      <c r="P18" s="64"/>
      <c r="Q18" s="64"/>
      <c r="R18" s="64"/>
      <c r="S18" s="64"/>
      <c r="T18" s="64"/>
      <c r="U18" s="64"/>
      <c r="V18" s="64"/>
    </row>
    <row r="19" spans="2:22" ht="11.25" customHeight="1" x14ac:dyDescent="0.3">
      <c r="B19" s="2"/>
      <c r="C19" s="24"/>
      <c r="D19" s="101"/>
      <c r="E19" s="101"/>
      <c r="F19" s="101"/>
      <c r="G19" s="101"/>
      <c r="H19" s="101"/>
      <c r="I19" s="101"/>
      <c r="J19" s="101"/>
      <c r="K19" s="101"/>
      <c r="L19" s="101"/>
      <c r="M19" s="101"/>
      <c r="N19" s="101"/>
      <c r="O19" s="101"/>
    </row>
    <row r="20" spans="2:22" x14ac:dyDescent="0.3">
      <c r="B20" s="2"/>
      <c r="C20" s="24" t="s">
        <v>743</v>
      </c>
    </row>
    <row r="21" spans="2:22" x14ac:dyDescent="0.3">
      <c r="B21" s="2"/>
      <c r="C21" s="24"/>
      <c r="G21" s="1" t="s">
        <v>529</v>
      </c>
      <c r="J21" s="245">
        <f>(1+K12)^0.5*(1+L12)*(1+M12)</f>
        <v>1.0375174472699489</v>
      </c>
    </row>
    <row r="22" spans="2:22" x14ac:dyDescent="0.3">
      <c r="B22" s="2"/>
      <c r="C22" s="24"/>
      <c r="G22" s="1" t="s">
        <v>543</v>
      </c>
      <c r="J22" s="245">
        <f>J21*M16</f>
        <v>1.0866501937241138</v>
      </c>
    </row>
    <row r="23" spans="2:22" x14ac:dyDescent="0.3">
      <c r="B23" s="2" t="s">
        <v>170</v>
      </c>
    </row>
    <row r="24" spans="2:22" x14ac:dyDescent="0.3">
      <c r="B24" s="2"/>
      <c r="F24" s="225"/>
      <c r="G24" s="225"/>
      <c r="H24" s="225"/>
      <c r="I24" s="225"/>
      <c r="J24" s="116"/>
      <c r="K24" s="225"/>
    </row>
    <row r="25" spans="2:22" x14ac:dyDescent="0.3">
      <c r="B25" s="2"/>
      <c r="C25" s="6" t="s">
        <v>172</v>
      </c>
      <c r="D25" s="6"/>
      <c r="E25" s="6"/>
      <c r="F25" s="6"/>
      <c r="G25" s="6"/>
      <c r="H25" s="6"/>
      <c r="I25" s="28">
        <v>2014</v>
      </c>
      <c r="J25" s="28">
        <v>2015</v>
      </c>
      <c r="K25" s="29">
        <f t="shared" ref="K25:L25" si="17">EDATE(L25,-12)</f>
        <v>42705</v>
      </c>
      <c r="L25" s="29">
        <f t="shared" si="17"/>
        <v>43070</v>
      </c>
      <c r="M25" s="29">
        <f>EDATE(N25,-12)</f>
        <v>43435</v>
      </c>
      <c r="N25" s="29">
        <f>CP_Yr_4</f>
        <v>43800</v>
      </c>
      <c r="O25" s="29">
        <f>CP_Yr_5</f>
        <v>44166</v>
      </c>
      <c r="P25" s="29">
        <f>Stub</f>
        <v>44377</v>
      </c>
      <c r="Q25" s="29">
        <f>Yr_1</f>
        <v>44742</v>
      </c>
      <c r="R25" s="29">
        <f>Yr_2</f>
        <v>45107</v>
      </c>
      <c r="S25" s="29">
        <f>Yr_3</f>
        <v>45473</v>
      </c>
      <c r="T25" s="29">
        <f>Yr_4</f>
        <v>45838</v>
      </c>
      <c r="U25" s="29">
        <f>Yr_5</f>
        <v>46203</v>
      </c>
    </row>
    <row r="26" spans="2:22" x14ac:dyDescent="0.3">
      <c r="B26" s="2"/>
      <c r="C26" s="6" t="s">
        <v>205</v>
      </c>
      <c r="D26" s="6"/>
      <c r="E26" s="6"/>
      <c r="F26" s="6"/>
      <c r="G26" s="6"/>
      <c r="H26" s="6"/>
      <c r="I26" s="80"/>
      <c r="J26" s="127"/>
      <c r="K26" s="127"/>
      <c r="L26" s="127"/>
      <c r="M26" s="127"/>
      <c r="N26" s="80">
        <v>9.025E-3</v>
      </c>
      <c r="O26" s="80">
        <v>9.5527565677154778E-3</v>
      </c>
      <c r="P26" s="80">
        <v>4.4777565677154773E-3</v>
      </c>
      <c r="Q26" s="80">
        <v>9.5678068458006794E-3</v>
      </c>
      <c r="R26" s="80">
        <v>1.0260162251887027E-2</v>
      </c>
      <c r="S26" s="80">
        <v>1.0763884945236883E-2</v>
      </c>
      <c r="T26" s="80">
        <v>9.455259247639812E-3</v>
      </c>
      <c r="U26" s="80">
        <v>8.8000000000000005E-3</v>
      </c>
    </row>
    <row r="27" spans="2:22" x14ac:dyDescent="0.3">
      <c r="B27" s="2"/>
      <c r="C27" s="6" t="s">
        <v>532</v>
      </c>
      <c r="D27" s="6"/>
      <c r="E27" s="6"/>
      <c r="F27" s="6"/>
      <c r="G27" s="6"/>
      <c r="H27" s="6"/>
      <c r="I27" s="315"/>
      <c r="J27" s="315"/>
      <c r="K27" s="315"/>
      <c r="L27" s="315"/>
      <c r="M27" s="64">
        <v>1</v>
      </c>
      <c r="N27" s="64">
        <f t="shared" ref="N27:O27" si="18">(1+N26)*M27</f>
        <v>1.0090250000000001</v>
      </c>
      <c r="O27" s="64">
        <f t="shared" si="18"/>
        <v>1.018663970195739</v>
      </c>
      <c r="P27" s="64">
        <f t="shared" ref="P27" si="19">(1+P26)*O27</f>
        <v>1.023225299478578</v>
      </c>
      <c r="Q27" s="64">
        <f t="shared" ref="Q27" si="20">(1+Q26)*P27</f>
        <v>1.0330153215037257</v>
      </c>
      <c r="R27" s="64">
        <f t="shared" ref="R27" si="21">(1+R26)*Q27</f>
        <v>1.0436142263110391</v>
      </c>
      <c r="S27" s="64">
        <f t="shared" ref="S27" si="22">(1+S26)*R27</f>
        <v>1.0548475697702635</v>
      </c>
      <c r="T27" s="64">
        <f t="shared" ref="T27" si="23">(1+T26)*S27</f>
        <v>1.0648214270091843</v>
      </c>
      <c r="U27" s="64">
        <f t="shared" ref="U27" si="24">(1+U26)*T27</f>
        <v>1.074191855566865</v>
      </c>
    </row>
    <row r="28" spans="2:22" x14ac:dyDescent="0.3">
      <c r="B28" s="2"/>
      <c r="C28" s="6" t="s">
        <v>533</v>
      </c>
      <c r="D28" s="6"/>
      <c r="E28" s="6"/>
      <c r="F28" s="6"/>
      <c r="G28" s="6"/>
      <c r="H28" s="6"/>
      <c r="I28" s="64"/>
      <c r="J28" s="64">
        <v>1</v>
      </c>
      <c r="K28" s="64">
        <f>J28*(1+K26)</f>
        <v>1</v>
      </c>
      <c r="L28" s="64">
        <f>K28*(1+L26)</f>
        <v>1</v>
      </c>
      <c r="M28" s="64">
        <f>L28*(1+M26)</f>
        <v>1</v>
      </c>
      <c r="N28" s="64">
        <f t="shared" ref="N28:U28" si="25">M28*(1+N26)</f>
        <v>1.0090250000000001</v>
      </c>
      <c r="O28" s="64">
        <f t="shared" si="25"/>
        <v>1.018663970195739</v>
      </c>
      <c r="P28" s="64">
        <f t="shared" ref="P28" si="26">O28*(1+P26)</f>
        <v>1.023225299478578</v>
      </c>
      <c r="Q28" s="64">
        <f t="shared" ref="Q28" si="27">P28*(1+Q26)</f>
        <v>1.0330153215037257</v>
      </c>
      <c r="R28" s="64">
        <f t="shared" si="25"/>
        <v>1.0436142263110391</v>
      </c>
      <c r="S28" s="64">
        <f t="shared" si="25"/>
        <v>1.0548475697702635</v>
      </c>
      <c r="T28" s="64">
        <f t="shared" si="25"/>
        <v>1.0648214270091843</v>
      </c>
      <c r="U28" s="64">
        <f t="shared" si="25"/>
        <v>1.074191855566865</v>
      </c>
    </row>
    <row r="29" spans="2:22" x14ac:dyDescent="0.3">
      <c r="B29" s="2"/>
      <c r="C29" s="6" t="s">
        <v>206</v>
      </c>
      <c r="D29" s="6"/>
      <c r="E29" s="6"/>
      <c r="F29" s="6"/>
      <c r="G29" s="6"/>
      <c r="H29" s="6"/>
      <c r="I29" s="80"/>
      <c r="J29" s="127"/>
      <c r="K29" s="127"/>
      <c r="L29" s="127"/>
      <c r="M29" s="127"/>
      <c r="N29" s="80">
        <v>9.025E-3</v>
      </c>
      <c r="O29" s="80">
        <v>9.5527565677154778E-3</v>
      </c>
      <c r="P29" s="80">
        <v>4.4777565677154773E-3</v>
      </c>
      <c r="Q29" s="80">
        <v>9.5678068458006794E-3</v>
      </c>
      <c r="R29" s="80">
        <v>1.0260162251887027E-2</v>
      </c>
      <c r="S29" s="80">
        <v>1.0763884945236883E-2</v>
      </c>
      <c r="T29" s="80">
        <v>9.455259247639812E-3</v>
      </c>
      <c r="U29" s="80">
        <v>8.8000000000000005E-3</v>
      </c>
    </row>
    <row r="30" spans="2:22" x14ac:dyDescent="0.3">
      <c r="B30" s="2"/>
      <c r="C30" s="6" t="s">
        <v>534</v>
      </c>
      <c r="D30" s="6"/>
      <c r="E30" s="6"/>
      <c r="F30" s="6"/>
      <c r="G30" s="6"/>
      <c r="H30" s="6"/>
      <c r="I30" s="315"/>
      <c r="J30" s="315"/>
      <c r="K30" s="315"/>
      <c r="L30" s="315"/>
      <c r="M30" s="64">
        <v>1</v>
      </c>
      <c r="N30" s="64">
        <f t="shared" ref="N30" si="28">(1+N29)*M30</f>
        <v>1.0090250000000001</v>
      </c>
      <c r="O30" s="64">
        <f t="shared" ref="O30" si="29">(1+O29)*N30</f>
        <v>1.018663970195739</v>
      </c>
      <c r="P30" s="64">
        <f t="shared" ref="P30" si="30">(1+P29)*O30</f>
        <v>1.023225299478578</v>
      </c>
      <c r="Q30" s="64">
        <f t="shared" ref="Q30" si="31">(1+Q29)*P30</f>
        <v>1.0330153215037257</v>
      </c>
      <c r="R30" s="64">
        <f t="shared" ref="R30" si="32">(1+R29)*Q30</f>
        <v>1.0436142263110391</v>
      </c>
      <c r="S30" s="64">
        <f t="shared" ref="S30" si="33">(1+S29)*R30</f>
        <v>1.0548475697702635</v>
      </c>
      <c r="T30" s="64">
        <f t="shared" ref="T30" si="34">(1+T29)*S30</f>
        <v>1.0648214270091843</v>
      </c>
      <c r="U30" s="64">
        <f t="shared" ref="U30" si="35">(1+U29)*T30</f>
        <v>1.074191855566865</v>
      </c>
    </row>
    <row r="31" spans="2:22" x14ac:dyDescent="0.3">
      <c r="B31" s="2"/>
      <c r="C31" s="6" t="s">
        <v>535</v>
      </c>
      <c r="D31" s="6"/>
      <c r="E31" s="6"/>
      <c r="F31" s="6"/>
      <c r="G31" s="6"/>
      <c r="H31" s="6"/>
      <c r="I31" s="64"/>
      <c r="J31" s="64">
        <v>1</v>
      </c>
      <c r="K31" s="64">
        <f>J31*(1+K29)</f>
        <v>1</v>
      </c>
      <c r="L31" s="64">
        <f>K31*(1+L29)</f>
        <v>1</v>
      </c>
      <c r="M31" s="64">
        <f t="shared" ref="M31:U31" si="36">L31*(1+M29)</f>
        <v>1</v>
      </c>
      <c r="N31" s="64">
        <f t="shared" si="36"/>
        <v>1.0090250000000001</v>
      </c>
      <c r="O31" s="64">
        <f t="shared" si="36"/>
        <v>1.018663970195739</v>
      </c>
      <c r="P31" s="64">
        <f t="shared" ref="P31" si="37">O31*(1+P29)</f>
        <v>1.023225299478578</v>
      </c>
      <c r="Q31" s="64">
        <f t="shared" ref="Q31" si="38">P31*(1+Q29)</f>
        <v>1.0330153215037257</v>
      </c>
      <c r="R31" s="64">
        <f t="shared" si="36"/>
        <v>1.0436142263110391</v>
      </c>
      <c r="S31" s="64">
        <f t="shared" si="36"/>
        <v>1.0548475697702635</v>
      </c>
      <c r="T31" s="64">
        <f t="shared" si="36"/>
        <v>1.0648214270091843</v>
      </c>
      <c r="U31" s="64">
        <f t="shared" si="36"/>
        <v>1.074191855566865</v>
      </c>
    </row>
    <row r="32" spans="2:22" x14ac:dyDescent="0.3">
      <c r="B32" s="2"/>
      <c r="C32" s="516" t="s">
        <v>742</v>
      </c>
      <c r="D32" s="24"/>
      <c r="E32" s="24"/>
      <c r="F32" s="24"/>
      <c r="G32" s="24"/>
      <c r="H32" s="24"/>
    </row>
    <row r="33" spans="2:23" x14ac:dyDescent="0.3">
      <c r="B33" s="2"/>
      <c r="C33" s="24"/>
      <c r="D33" s="24"/>
      <c r="E33" s="24"/>
      <c r="F33" s="24"/>
      <c r="G33" s="24"/>
      <c r="H33" s="24"/>
      <c r="K33" s="109"/>
      <c r="L33" s="109"/>
      <c r="M33" s="109"/>
      <c r="N33" s="109"/>
      <c r="O33" s="109"/>
      <c r="P33" s="109"/>
    </row>
    <row r="34" spans="2:23" x14ac:dyDescent="0.3">
      <c r="B34" s="2" t="s">
        <v>171</v>
      </c>
    </row>
    <row r="35" spans="2:23" x14ac:dyDescent="0.3">
      <c r="B35" s="2"/>
      <c r="C35" s="6" t="s">
        <v>241</v>
      </c>
      <c r="D35" s="6"/>
      <c r="E35" s="6"/>
      <c r="F35" s="6"/>
      <c r="G35" s="6"/>
      <c r="H35" s="6"/>
      <c r="I35" s="28">
        <v>2014</v>
      </c>
      <c r="J35" s="28">
        <v>2015</v>
      </c>
      <c r="K35" s="29">
        <f t="shared" ref="K35:L35" si="39">EDATE(L35,-12)</f>
        <v>42705</v>
      </c>
      <c r="L35" s="29">
        <f t="shared" si="39"/>
        <v>43070</v>
      </c>
      <c r="M35" s="29">
        <f>EDATE(N35,-12)</f>
        <v>43435</v>
      </c>
      <c r="N35" s="29">
        <f>CP_Yr_4</f>
        <v>43800</v>
      </c>
      <c r="O35" s="29">
        <f>CP_Yr_5</f>
        <v>44166</v>
      </c>
      <c r="P35" s="29">
        <f>Stub</f>
        <v>44377</v>
      </c>
      <c r="Q35" s="29">
        <f>Yr_1</f>
        <v>44742</v>
      </c>
      <c r="R35" s="29">
        <f>Yr_2</f>
        <v>45107</v>
      </c>
      <c r="S35" s="29">
        <f>Yr_3</f>
        <v>45473</v>
      </c>
      <c r="T35" s="29">
        <f>Yr_4</f>
        <v>45838</v>
      </c>
      <c r="U35" s="29">
        <f>Yr_5</f>
        <v>46203</v>
      </c>
    </row>
    <row r="36" spans="2:23" x14ac:dyDescent="0.3">
      <c r="B36" s="2"/>
      <c r="C36" s="6" t="s">
        <v>180</v>
      </c>
      <c r="D36" s="6"/>
      <c r="E36" s="6"/>
      <c r="F36" s="6"/>
      <c r="G36" s="6"/>
      <c r="H36" s="6"/>
      <c r="I36" s="112">
        <v>0</v>
      </c>
      <c r="J36" s="112">
        <v>0</v>
      </c>
      <c r="K36" s="112">
        <v>0</v>
      </c>
      <c r="L36" s="112">
        <v>0</v>
      </c>
      <c r="M36" s="112">
        <v>0</v>
      </c>
      <c r="N36" s="112">
        <v>0</v>
      </c>
      <c r="O36" s="112">
        <v>0</v>
      </c>
      <c r="P36" s="112">
        <v>0</v>
      </c>
      <c r="Q36" s="112">
        <v>0</v>
      </c>
      <c r="R36" s="112">
        <v>0</v>
      </c>
      <c r="S36" s="112">
        <v>0</v>
      </c>
      <c r="T36" s="112">
        <v>0</v>
      </c>
      <c r="U36" s="112">
        <v>0</v>
      </c>
    </row>
    <row r="37" spans="2:23" x14ac:dyDescent="0.3">
      <c r="B37" s="2"/>
      <c r="C37" s="6" t="s">
        <v>181</v>
      </c>
      <c r="D37" s="6"/>
      <c r="E37" s="6"/>
      <c r="F37" s="6"/>
      <c r="G37" s="6"/>
      <c r="H37" s="6"/>
      <c r="I37" s="112">
        <v>0</v>
      </c>
      <c r="J37" s="112">
        <v>0</v>
      </c>
      <c r="K37" s="112">
        <v>0</v>
      </c>
      <c r="L37" s="112">
        <v>0</v>
      </c>
      <c r="M37" s="112">
        <v>0</v>
      </c>
      <c r="N37" s="112">
        <v>0</v>
      </c>
      <c r="O37" s="112">
        <v>0</v>
      </c>
      <c r="P37" s="112">
        <v>0</v>
      </c>
      <c r="Q37" s="112">
        <v>0</v>
      </c>
      <c r="R37" s="112">
        <v>0</v>
      </c>
      <c r="S37" s="112">
        <v>0</v>
      </c>
      <c r="T37" s="112">
        <v>0</v>
      </c>
      <c r="U37" s="112">
        <v>0</v>
      </c>
    </row>
    <row r="38" spans="2:23" x14ac:dyDescent="0.3">
      <c r="B38" s="2"/>
      <c r="C38" s="6" t="s">
        <v>182</v>
      </c>
      <c r="D38" s="6"/>
      <c r="E38" s="6"/>
      <c r="F38" s="6"/>
      <c r="G38" s="6"/>
      <c r="H38" s="6"/>
      <c r="I38" s="112">
        <v>0</v>
      </c>
      <c r="J38" s="112">
        <v>0</v>
      </c>
      <c r="K38" s="112">
        <v>0</v>
      </c>
      <c r="L38" s="112">
        <v>0</v>
      </c>
      <c r="M38" s="112">
        <v>0</v>
      </c>
      <c r="N38" s="112">
        <v>0</v>
      </c>
      <c r="O38" s="112">
        <v>0</v>
      </c>
      <c r="P38" s="112">
        <v>0</v>
      </c>
      <c r="Q38" s="112">
        <v>0</v>
      </c>
      <c r="R38" s="112">
        <v>0</v>
      </c>
      <c r="S38" s="112">
        <v>0</v>
      </c>
      <c r="T38" s="112">
        <v>0</v>
      </c>
      <c r="U38" s="112">
        <v>0</v>
      </c>
      <c r="W38" s="1" t="s">
        <v>320</v>
      </c>
    </row>
    <row r="39" spans="2:23" x14ac:dyDescent="0.3">
      <c r="B39" s="2"/>
      <c r="C39" s="6" t="s">
        <v>183</v>
      </c>
      <c r="D39" s="6"/>
      <c r="E39" s="6"/>
      <c r="F39" s="6"/>
      <c r="G39" s="6"/>
      <c r="H39" s="6"/>
      <c r="I39" s="112">
        <v>0</v>
      </c>
      <c r="J39" s="112">
        <v>0</v>
      </c>
      <c r="K39" s="112">
        <v>0</v>
      </c>
      <c r="L39" s="112">
        <v>0</v>
      </c>
      <c r="M39" s="112">
        <v>0</v>
      </c>
      <c r="N39" s="112">
        <v>0</v>
      </c>
      <c r="O39" s="112">
        <v>0</v>
      </c>
      <c r="P39" s="112">
        <v>0</v>
      </c>
      <c r="Q39" s="112">
        <v>0</v>
      </c>
      <c r="R39" s="112">
        <v>0</v>
      </c>
      <c r="S39" s="112">
        <v>0</v>
      </c>
      <c r="T39" s="112">
        <v>0</v>
      </c>
      <c r="U39" s="112">
        <v>0</v>
      </c>
    </row>
    <row r="40" spans="2:23" x14ac:dyDescent="0.3">
      <c r="B40" s="2"/>
      <c r="C40" s="6" t="s">
        <v>5</v>
      </c>
      <c r="D40" s="6"/>
      <c r="E40" s="6"/>
      <c r="F40" s="6"/>
      <c r="G40" s="6"/>
      <c r="H40" s="6"/>
      <c r="I40" s="112">
        <v>0</v>
      </c>
      <c r="J40" s="112">
        <v>0</v>
      </c>
      <c r="K40" s="112">
        <v>0</v>
      </c>
      <c r="L40" s="112">
        <v>0</v>
      </c>
      <c r="M40" s="112">
        <v>0</v>
      </c>
      <c r="N40" s="112">
        <v>0</v>
      </c>
      <c r="O40" s="112">
        <v>0</v>
      </c>
      <c r="P40" s="112">
        <v>0</v>
      </c>
      <c r="Q40" s="112">
        <v>0</v>
      </c>
      <c r="R40" s="112">
        <v>0</v>
      </c>
      <c r="S40" s="112">
        <v>0</v>
      </c>
      <c r="T40" s="112">
        <v>0</v>
      </c>
      <c r="U40" s="112">
        <v>0</v>
      </c>
    </row>
    <row r="41" spans="2:23" x14ac:dyDescent="0.3">
      <c r="B41" s="2"/>
      <c r="C41" s="6" t="s">
        <v>185</v>
      </c>
      <c r="D41" s="6"/>
      <c r="E41" s="6"/>
      <c r="F41" s="6"/>
      <c r="G41" s="6"/>
      <c r="H41" s="6"/>
      <c r="I41" s="112">
        <v>0</v>
      </c>
      <c r="J41" s="112">
        <v>0</v>
      </c>
      <c r="K41" s="112">
        <v>0</v>
      </c>
      <c r="L41" s="112">
        <v>0</v>
      </c>
      <c r="M41" s="112">
        <v>0</v>
      </c>
      <c r="N41" s="112">
        <v>0</v>
      </c>
      <c r="O41" s="112">
        <v>0</v>
      </c>
      <c r="P41" s="112">
        <v>0</v>
      </c>
      <c r="Q41" s="112">
        <v>0</v>
      </c>
      <c r="R41" s="112">
        <v>0</v>
      </c>
      <c r="S41" s="112">
        <v>0</v>
      </c>
      <c r="T41" s="112">
        <v>0</v>
      </c>
      <c r="U41" s="112">
        <v>0</v>
      </c>
    </row>
    <row r="42" spans="2:23" x14ac:dyDescent="0.3">
      <c r="B42" s="2"/>
    </row>
    <row r="43" spans="2:23" x14ac:dyDescent="0.3">
      <c r="B43" s="2"/>
      <c r="C43" s="6" t="s">
        <v>211</v>
      </c>
      <c r="D43" s="6"/>
      <c r="E43" s="6"/>
      <c r="F43" s="6"/>
      <c r="G43" s="6"/>
      <c r="H43" s="6"/>
      <c r="I43" s="28">
        <v>2014</v>
      </c>
      <c r="J43" s="28">
        <v>2015</v>
      </c>
      <c r="K43" s="29">
        <f t="shared" ref="K43:L43" si="40">EDATE(L43,-12)</f>
        <v>42705</v>
      </c>
      <c r="L43" s="29">
        <f t="shared" si="40"/>
        <v>43070</v>
      </c>
      <c r="M43" s="29">
        <f>EDATE(N43,-12)</f>
        <v>43435</v>
      </c>
      <c r="N43" s="29">
        <f>CP_Yr_4</f>
        <v>43800</v>
      </c>
      <c r="O43" s="29">
        <f>CP_Yr_5</f>
        <v>44166</v>
      </c>
      <c r="P43" s="29">
        <f>Stub</f>
        <v>44377</v>
      </c>
      <c r="Q43" s="29">
        <f>Yr_1</f>
        <v>44742</v>
      </c>
      <c r="R43" s="29">
        <f>Yr_2</f>
        <v>45107</v>
      </c>
      <c r="S43" s="29">
        <f>Yr_3</f>
        <v>45473</v>
      </c>
      <c r="T43" s="29">
        <f>Yr_4</f>
        <v>45838</v>
      </c>
      <c r="U43" s="29">
        <f>Yr_5</f>
        <v>46203</v>
      </c>
    </row>
    <row r="44" spans="2:23" x14ac:dyDescent="0.3">
      <c r="B44" s="2"/>
      <c r="C44" s="6" t="s">
        <v>180</v>
      </c>
      <c r="D44" s="6"/>
      <c r="E44" s="6"/>
      <c r="F44" s="6"/>
      <c r="G44" s="6"/>
      <c r="H44" s="6"/>
      <c r="I44" s="64"/>
      <c r="J44" s="64"/>
      <c r="K44" s="64"/>
      <c r="L44" s="64"/>
      <c r="M44" s="64">
        <v>1</v>
      </c>
      <c r="N44" s="64">
        <f t="shared" ref="N44:P44" si="41">(1+N36)*M44</f>
        <v>1</v>
      </c>
      <c r="O44" s="64">
        <f t="shared" si="41"/>
        <v>1</v>
      </c>
      <c r="P44" s="64">
        <f t="shared" si="41"/>
        <v>1</v>
      </c>
      <c r="Q44" s="64">
        <f t="shared" ref="Q44:Q48" si="42">(1+Q36)*P44</f>
        <v>1</v>
      </c>
      <c r="R44" s="64">
        <f t="shared" ref="R44:R48" si="43">(1+R36)*Q44</f>
        <v>1</v>
      </c>
      <c r="S44" s="64">
        <f t="shared" ref="S44:S48" si="44">(1+S36)*R44</f>
        <v>1</v>
      </c>
      <c r="T44" s="64">
        <f t="shared" ref="T44:T48" si="45">(1+T36)*S44</f>
        <v>1</v>
      </c>
      <c r="U44" s="64">
        <f t="shared" ref="U44:U48" si="46">(1+U36)*T44</f>
        <v>1</v>
      </c>
    </row>
    <row r="45" spans="2:23" x14ac:dyDescent="0.3">
      <c r="B45" s="2"/>
      <c r="C45" s="6" t="s">
        <v>181</v>
      </c>
      <c r="D45" s="6"/>
      <c r="E45" s="6"/>
      <c r="F45" s="6"/>
      <c r="G45" s="6"/>
      <c r="H45" s="6"/>
      <c r="I45" s="64"/>
      <c r="J45" s="64"/>
      <c r="K45" s="64"/>
      <c r="L45" s="64"/>
      <c r="M45" s="64">
        <v>1</v>
      </c>
      <c r="N45" s="64">
        <f t="shared" ref="N45:P45" si="47">(1+N37)*M45</f>
        <v>1</v>
      </c>
      <c r="O45" s="64">
        <f t="shared" si="47"/>
        <v>1</v>
      </c>
      <c r="P45" s="64">
        <f t="shared" si="47"/>
        <v>1</v>
      </c>
      <c r="Q45" s="64">
        <f t="shared" si="42"/>
        <v>1</v>
      </c>
      <c r="R45" s="64">
        <f t="shared" si="43"/>
        <v>1</v>
      </c>
      <c r="S45" s="64">
        <f t="shared" si="44"/>
        <v>1</v>
      </c>
      <c r="T45" s="64">
        <f t="shared" si="45"/>
        <v>1</v>
      </c>
      <c r="U45" s="64">
        <f t="shared" si="46"/>
        <v>1</v>
      </c>
    </row>
    <row r="46" spans="2:23" x14ac:dyDescent="0.3">
      <c r="B46" s="2"/>
      <c r="C46" s="6" t="s">
        <v>182</v>
      </c>
      <c r="D46" s="6"/>
      <c r="E46" s="6"/>
      <c r="F46" s="6"/>
      <c r="G46" s="6"/>
      <c r="H46" s="6"/>
      <c r="I46" s="64"/>
      <c r="J46" s="64"/>
      <c r="K46" s="64"/>
      <c r="L46" s="64"/>
      <c r="M46" s="64">
        <v>1</v>
      </c>
      <c r="N46" s="64">
        <f t="shared" ref="N46:P46" si="48">(1+N38)*M46</f>
        <v>1</v>
      </c>
      <c r="O46" s="64">
        <f t="shared" si="48"/>
        <v>1</v>
      </c>
      <c r="P46" s="64">
        <f t="shared" si="48"/>
        <v>1</v>
      </c>
      <c r="Q46" s="64">
        <f t="shared" si="42"/>
        <v>1</v>
      </c>
      <c r="R46" s="64">
        <f t="shared" si="43"/>
        <v>1</v>
      </c>
      <c r="S46" s="64">
        <f t="shared" si="44"/>
        <v>1</v>
      </c>
      <c r="T46" s="64">
        <f t="shared" si="45"/>
        <v>1</v>
      </c>
      <c r="U46" s="64">
        <f t="shared" si="46"/>
        <v>1</v>
      </c>
    </row>
    <row r="47" spans="2:23" x14ac:dyDescent="0.3">
      <c r="B47" s="2"/>
      <c r="C47" s="6" t="s">
        <v>183</v>
      </c>
      <c r="D47" s="6"/>
      <c r="E47" s="6"/>
      <c r="F47" s="6"/>
      <c r="G47" s="6"/>
      <c r="H47" s="6"/>
      <c r="I47" s="64"/>
      <c r="J47" s="64"/>
      <c r="K47" s="64"/>
      <c r="L47" s="64"/>
      <c r="M47" s="64">
        <v>1</v>
      </c>
      <c r="N47" s="64">
        <f t="shared" ref="N47:P47" si="49">(1+N39)*M47</f>
        <v>1</v>
      </c>
      <c r="O47" s="64">
        <f t="shared" si="49"/>
        <v>1</v>
      </c>
      <c r="P47" s="64">
        <f t="shared" si="49"/>
        <v>1</v>
      </c>
      <c r="Q47" s="64">
        <f t="shared" si="42"/>
        <v>1</v>
      </c>
      <c r="R47" s="64">
        <f t="shared" si="43"/>
        <v>1</v>
      </c>
      <c r="S47" s="64">
        <f t="shared" si="44"/>
        <v>1</v>
      </c>
      <c r="T47" s="64">
        <f t="shared" si="45"/>
        <v>1</v>
      </c>
      <c r="U47" s="64">
        <f t="shared" si="46"/>
        <v>1</v>
      </c>
    </row>
    <row r="48" spans="2:23" x14ac:dyDescent="0.3">
      <c r="B48" s="2"/>
      <c r="C48" s="6" t="s">
        <v>5</v>
      </c>
      <c r="D48" s="6"/>
      <c r="E48" s="6"/>
      <c r="F48" s="6"/>
      <c r="G48" s="6"/>
      <c r="H48" s="6"/>
      <c r="I48" s="64"/>
      <c r="J48" s="64"/>
      <c r="K48" s="64"/>
      <c r="L48" s="64"/>
      <c r="M48" s="64">
        <v>1</v>
      </c>
      <c r="N48" s="64">
        <f t="shared" ref="N48:P48" si="50">(1+N40)*M48</f>
        <v>1</v>
      </c>
      <c r="O48" s="64">
        <f t="shared" si="50"/>
        <v>1</v>
      </c>
      <c r="P48" s="64">
        <f t="shared" si="50"/>
        <v>1</v>
      </c>
      <c r="Q48" s="64">
        <f t="shared" si="42"/>
        <v>1</v>
      </c>
      <c r="R48" s="64">
        <f t="shared" si="43"/>
        <v>1</v>
      </c>
      <c r="S48" s="64">
        <f t="shared" si="44"/>
        <v>1</v>
      </c>
      <c r="T48" s="64">
        <f t="shared" si="45"/>
        <v>1</v>
      </c>
      <c r="U48" s="64">
        <f t="shared" si="46"/>
        <v>1</v>
      </c>
    </row>
    <row r="49" spans="2:21" x14ac:dyDescent="0.3">
      <c r="B49" s="2"/>
      <c r="C49" s="6" t="str">
        <f>C41</f>
        <v>Spare</v>
      </c>
      <c r="D49" s="6"/>
      <c r="E49" s="6"/>
      <c r="F49" s="6"/>
      <c r="G49" s="6"/>
      <c r="H49" s="6"/>
      <c r="I49" s="64"/>
      <c r="J49" s="64"/>
      <c r="K49" s="82"/>
      <c r="L49" s="82"/>
      <c r="M49" s="82"/>
      <c r="N49" s="82"/>
      <c r="O49" s="82"/>
      <c r="P49" s="82"/>
      <c r="Q49" s="82"/>
      <c r="R49" s="82"/>
      <c r="S49" s="82"/>
      <c r="T49" s="82"/>
      <c r="U49" s="82"/>
    </row>
    <row r="50" spans="2:21" x14ac:dyDescent="0.3">
      <c r="C50" s="24"/>
    </row>
    <row r="53" spans="2:21" x14ac:dyDescent="0.3">
      <c r="B53" s="2"/>
    </row>
    <row r="54" spans="2:21" ht="11.25" customHeight="1" x14ac:dyDescent="0.3">
      <c r="B54" s="2"/>
    </row>
    <row r="55" spans="2:21" x14ac:dyDescent="0.3">
      <c r="D55" s="78"/>
      <c r="E55" s="34"/>
    </row>
    <row r="56" spans="2:21" x14ac:dyDescent="0.3">
      <c r="D56" s="79"/>
    </row>
  </sheetData>
  <hyperlinks>
    <hyperlink ref="B2" location="Contents!A1" display="Table of Contents" xr:uid="{00000000-0004-0000-0400-000000000000}"/>
  </hyperlinks>
  <pageMargins left="0.7" right="0.7" top="0.75" bottom="0.75" header="0.3" footer="0.3"/>
  <pageSetup paperSize="9" scale="80" orientation="landscape" r:id="rId1"/>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K31"/>
  <sheetViews>
    <sheetView zoomScale="85" zoomScaleNormal="85" zoomScalePageLayoutView="125" workbookViewId="0">
      <selection activeCell="F27" sqref="F27"/>
    </sheetView>
  </sheetViews>
  <sheetFormatPr defaultColWidth="8.88671875" defaultRowHeight="14.4" x14ac:dyDescent="0.3"/>
  <cols>
    <col min="1" max="1" width="4.44140625" style="1" customWidth="1"/>
    <col min="2" max="2" width="7.6640625" style="1" customWidth="1"/>
    <col min="3" max="3" width="33.6640625" style="1" customWidth="1"/>
    <col min="4" max="4" width="22.33203125" style="1" customWidth="1"/>
    <col min="5" max="5" width="8.88671875" style="1"/>
    <col min="6" max="6" width="27.109375" style="1" customWidth="1"/>
    <col min="7" max="8" width="8.88671875" style="1"/>
    <col min="9" max="9" width="30.44140625" style="1" customWidth="1"/>
    <col min="10" max="10" width="8.88671875" style="1"/>
    <col min="11" max="11" width="31.109375" style="1" customWidth="1"/>
    <col min="12" max="16384" width="8.88671875" style="1"/>
  </cols>
  <sheetData>
    <row r="1" spans="2:11" ht="21" x14ac:dyDescent="0.4">
      <c r="B1" s="11" t="s">
        <v>21</v>
      </c>
    </row>
    <row r="2" spans="2:11" x14ac:dyDescent="0.3">
      <c r="B2" s="25" t="s">
        <v>6</v>
      </c>
    </row>
    <row r="4" spans="2:11" x14ac:dyDescent="0.3">
      <c r="C4" s="12" t="s">
        <v>78</v>
      </c>
      <c r="F4" s="12" t="s">
        <v>299</v>
      </c>
      <c r="I4" s="12" t="s">
        <v>298</v>
      </c>
      <c r="K4" s="12" t="s">
        <v>58</v>
      </c>
    </row>
    <row r="5" spans="2:11" x14ac:dyDescent="0.3">
      <c r="C5" s="1" t="s">
        <v>44</v>
      </c>
      <c r="F5" s="35" t="s">
        <v>71</v>
      </c>
      <c r="G5" s="35" t="s">
        <v>72</v>
      </c>
      <c r="I5" s="1" t="s">
        <v>150</v>
      </c>
      <c r="K5" s="1" t="s">
        <v>59</v>
      </c>
    </row>
    <row r="6" spans="2:11" x14ac:dyDescent="0.3">
      <c r="C6" s="1" t="s">
        <v>45</v>
      </c>
      <c r="F6" s="1" t="s">
        <v>61</v>
      </c>
      <c r="G6" s="1" t="s">
        <v>68</v>
      </c>
      <c r="I6" s="1" t="s">
        <v>32</v>
      </c>
      <c r="K6" s="1" t="s">
        <v>60</v>
      </c>
    </row>
    <row r="7" spans="2:11" x14ac:dyDescent="0.3">
      <c r="C7" s="1" t="s">
        <v>48</v>
      </c>
      <c r="F7" s="1" t="s">
        <v>26</v>
      </c>
      <c r="G7" s="1" t="s">
        <v>68</v>
      </c>
      <c r="I7" s="1" t="s">
        <v>10</v>
      </c>
    </row>
    <row r="8" spans="2:11" x14ac:dyDescent="0.3">
      <c r="C8" s="1" t="s">
        <v>49</v>
      </c>
      <c r="F8" s="1" t="s">
        <v>62</v>
      </c>
      <c r="G8" s="1" t="s">
        <v>68</v>
      </c>
      <c r="I8" s="1" t="s">
        <v>34</v>
      </c>
    </row>
    <row r="9" spans="2:11" x14ac:dyDescent="0.3">
      <c r="C9" s="1" t="s">
        <v>50</v>
      </c>
      <c r="F9" s="1" t="s">
        <v>63</v>
      </c>
      <c r="G9" s="1" t="s">
        <v>68</v>
      </c>
      <c r="I9" s="1" t="s">
        <v>35</v>
      </c>
    </row>
    <row r="10" spans="2:11" x14ac:dyDescent="0.3">
      <c r="C10" s="1" t="s">
        <v>520</v>
      </c>
      <c r="F10" s="1" t="s">
        <v>64</v>
      </c>
      <c r="G10" s="1" t="s">
        <v>68</v>
      </c>
      <c r="I10" s="1" t="s">
        <v>36</v>
      </c>
    </row>
    <row r="11" spans="2:11" x14ac:dyDescent="0.3">
      <c r="C11" s="1" t="s">
        <v>397</v>
      </c>
      <c r="F11" s="1" t="s">
        <v>65</v>
      </c>
      <c r="G11" s="1" t="s">
        <v>69</v>
      </c>
      <c r="I11" s="1" t="s">
        <v>75</v>
      </c>
    </row>
    <row r="12" spans="2:11" x14ac:dyDescent="0.3">
      <c r="C12" s="1" t="s">
        <v>590</v>
      </c>
      <c r="F12" s="1" t="s">
        <v>66</v>
      </c>
      <c r="G12" s="1" t="s">
        <v>69</v>
      </c>
    </row>
    <row r="13" spans="2:11" x14ac:dyDescent="0.3">
      <c r="F13" s="1" t="s">
        <v>67</v>
      </c>
      <c r="G13" s="1" t="s">
        <v>69</v>
      </c>
    </row>
    <row r="14" spans="2:11" x14ac:dyDescent="0.3">
      <c r="F14" s="1" t="s">
        <v>73</v>
      </c>
      <c r="G14" s="1" t="s">
        <v>68</v>
      </c>
      <c r="I14" s="12" t="s">
        <v>360</v>
      </c>
    </row>
    <row r="15" spans="2:11" x14ac:dyDescent="0.3">
      <c r="C15" s="12" t="s">
        <v>70</v>
      </c>
      <c r="F15" s="1" t="s">
        <v>74</v>
      </c>
      <c r="G15" s="1" t="s">
        <v>68</v>
      </c>
      <c r="I15" s="1" t="s">
        <v>329</v>
      </c>
      <c r="K15" s="1" t="s">
        <v>284</v>
      </c>
    </row>
    <row r="16" spans="2:11" x14ac:dyDescent="0.3">
      <c r="C16" s="1" t="s">
        <v>51</v>
      </c>
      <c r="I16" s="1" t="s">
        <v>332</v>
      </c>
      <c r="K16" s="1" t="s">
        <v>284</v>
      </c>
    </row>
    <row r="17" spans="3:11" x14ac:dyDescent="0.3">
      <c r="C17" s="1" t="s">
        <v>52</v>
      </c>
      <c r="F17" s="12" t="s">
        <v>454</v>
      </c>
      <c r="I17" s="1" t="s">
        <v>333</v>
      </c>
      <c r="K17" s="1" t="s">
        <v>284</v>
      </c>
    </row>
    <row r="18" spans="3:11" x14ac:dyDescent="0.3">
      <c r="C18" s="1" t="s">
        <v>53</v>
      </c>
      <c r="F18" s="1" t="s">
        <v>452</v>
      </c>
      <c r="I18" s="1" t="s">
        <v>334</v>
      </c>
      <c r="K18" s="1" t="s">
        <v>235</v>
      </c>
    </row>
    <row r="19" spans="3:11" x14ac:dyDescent="0.3">
      <c r="C19" s="1" t="s">
        <v>54</v>
      </c>
      <c r="F19" s="1" t="s">
        <v>26</v>
      </c>
      <c r="I19" s="1" t="s">
        <v>335</v>
      </c>
      <c r="K19" s="1" t="s">
        <v>235</v>
      </c>
    </row>
    <row r="20" spans="3:11" x14ac:dyDescent="0.3">
      <c r="C20" s="1" t="s">
        <v>55</v>
      </c>
      <c r="F20" s="1" t="s">
        <v>150</v>
      </c>
      <c r="I20" s="1" t="s">
        <v>336</v>
      </c>
      <c r="K20" s="1" t="s">
        <v>235</v>
      </c>
    </row>
    <row r="21" spans="3:11" x14ac:dyDescent="0.3">
      <c r="C21" s="1" t="s">
        <v>56</v>
      </c>
      <c r="F21" s="1" t="s">
        <v>58</v>
      </c>
      <c r="I21" s="1" t="s">
        <v>337</v>
      </c>
      <c r="K21" s="1" t="s">
        <v>235</v>
      </c>
    </row>
    <row r="22" spans="3:11" x14ac:dyDescent="0.3">
      <c r="C22" s="1" t="s">
        <v>57</v>
      </c>
      <c r="F22" s="1" t="s">
        <v>410</v>
      </c>
      <c r="I22" s="1" t="s">
        <v>338</v>
      </c>
      <c r="K22" s="1" t="s">
        <v>235</v>
      </c>
    </row>
    <row r="23" spans="3:11" x14ac:dyDescent="0.3">
      <c r="C23" s="1" t="s">
        <v>48</v>
      </c>
      <c r="F23" s="1" t="s">
        <v>456</v>
      </c>
      <c r="I23" s="1" t="s">
        <v>339</v>
      </c>
      <c r="K23" s="1" t="s">
        <v>236</v>
      </c>
    </row>
    <row r="24" spans="3:11" x14ac:dyDescent="0.3">
      <c r="C24" s="1" t="s">
        <v>49</v>
      </c>
      <c r="F24" s="1" t="s">
        <v>284</v>
      </c>
      <c r="I24" s="1" t="s">
        <v>340</v>
      </c>
      <c r="K24" s="1" t="s">
        <v>234</v>
      </c>
    </row>
    <row r="25" spans="3:11" x14ac:dyDescent="0.3">
      <c r="C25" s="1" t="s">
        <v>50</v>
      </c>
      <c r="F25" s="1" t="s">
        <v>453</v>
      </c>
      <c r="I25" s="1" t="s">
        <v>361</v>
      </c>
      <c r="K25" s="1" t="s">
        <v>358</v>
      </c>
    </row>
    <row r="26" spans="3:11" x14ac:dyDescent="0.3">
      <c r="C26" s="1" t="s">
        <v>131</v>
      </c>
      <c r="D26" s="1" t="s">
        <v>225</v>
      </c>
      <c r="I26" s="1" t="s">
        <v>362</v>
      </c>
      <c r="K26" s="1" t="s">
        <v>358</v>
      </c>
    </row>
    <row r="27" spans="3:11" x14ac:dyDescent="0.3">
      <c r="C27" s="1" t="s">
        <v>130</v>
      </c>
      <c r="D27" s="1" t="s">
        <v>225</v>
      </c>
      <c r="I27" s="12"/>
    </row>
    <row r="28" spans="3:11" x14ac:dyDescent="0.3">
      <c r="I28" s="128" t="s">
        <v>369</v>
      </c>
    </row>
    <row r="29" spans="3:11" x14ac:dyDescent="0.3">
      <c r="I29" s="1" t="s">
        <v>308</v>
      </c>
    </row>
    <row r="30" spans="3:11" x14ac:dyDescent="0.3">
      <c r="C30" s="1" t="s">
        <v>295</v>
      </c>
      <c r="D30" s="1">
        <v>1000000</v>
      </c>
      <c r="I30" s="1" t="s">
        <v>593</v>
      </c>
    </row>
    <row r="31" spans="3:11" x14ac:dyDescent="0.3">
      <c r="C31" s="1" t="s">
        <v>296</v>
      </c>
      <c r="D31" s="1">
        <v>1000</v>
      </c>
      <c r="I31" s="1" t="s">
        <v>594</v>
      </c>
    </row>
  </sheetData>
  <hyperlinks>
    <hyperlink ref="B2" location="Contents!A1" display="Table of Contents" xr:uid="{00000000-0004-0000-0500-000000000000}"/>
  </hyperlinks>
  <pageMargins left="0.25" right="0.25" top="0.75" bottom="0.75" header="0.3" footer="0.3"/>
  <pageSetup paperSize="9" scale="74" orientation="landscape"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79998168889431442"/>
  </sheetPr>
  <dimension ref="C2:K13"/>
  <sheetViews>
    <sheetView zoomScaleNormal="100" workbookViewId="0">
      <selection activeCell="E13" sqref="E13"/>
    </sheetView>
  </sheetViews>
  <sheetFormatPr defaultColWidth="8.88671875" defaultRowHeight="14.4" x14ac:dyDescent="0.3"/>
  <cols>
    <col min="1" max="1" width="6.44140625" style="1" customWidth="1"/>
    <col min="2" max="2" width="3.33203125" style="1" customWidth="1"/>
    <col min="3" max="3" width="22.33203125" style="1" customWidth="1"/>
    <col min="4" max="4" width="9.88671875" style="1" customWidth="1"/>
    <col min="5" max="16384" width="8.88671875" style="1"/>
  </cols>
  <sheetData>
    <row r="2" spans="3:11" ht="15" thickBot="1" x14ac:dyDescent="0.35"/>
    <row r="3" spans="3:11" ht="15" thickBot="1" x14ac:dyDescent="0.35">
      <c r="C3" s="2" t="s">
        <v>368</v>
      </c>
      <c r="D3" s="228" t="s">
        <v>308</v>
      </c>
      <c r="E3" s="229" t="s">
        <v>376</v>
      </c>
      <c r="F3" s="229"/>
    </row>
    <row r="4" spans="3:11" ht="15" thickBot="1" x14ac:dyDescent="0.35">
      <c r="C4" s="2"/>
      <c r="E4" s="57"/>
      <c r="F4" s="57"/>
    </row>
    <row r="5" spans="3:11" ht="15" thickBot="1" x14ac:dyDescent="0.35">
      <c r="C5" s="2" t="s">
        <v>370</v>
      </c>
      <c r="D5" s="228" t="s">
        <v>593</v>
      </c>
      <c r="E5" s="229" t="s">
        <v>376</v>
      </c>
      <c r="F5" s="229"/>
    </row>
    <row r="7" spans="3:11" x14ac:dyDescent="0.3">
      <c r="C7" s="1" t="s">
        <v>371</v>
      </c>
      <c r="D7" s="233">
        <f>IF(D5="2022-26",2022,IF(D5="2027-31",2027,0))</f>
        <v>2022</v>
      </c>
    </row>
    <row r="9" spans="3:11" x14ac:dyDescent="0.3">
      <c r="C9" s="1" t="s">
        <v>373</v>
      </c>
      <c r="D9" s="233">
        <f>D7-1</f>
        <v>2021</v>
      </c>
    </row>
    <row r="10" spans="3:11" x14ac:dyDescent="0.3">
      <c r="C10" s="1" t="s">
        <v>372</v>
      </c>
      <c r="D10" s="233">
        <f>D7-2</f>
        <v>2020</v>
      </c>
    </row>
    <row r="11" spans="3:11" x14ac:dyDescent="0.3">
      <c r="D11" s="225"/>
    </row>
    <row r="12" spans="3:11" x14ac:dyDescent="0.3">
      <c r="D12" s="28" t="s">
        <v>374</v>
      </c>
      <c r="E12" s="28" t="s">
        <v>375</v>
      </c>
      <c r="F12" s="28" t="s">
        <v>611</v>
      </c>
      <c r="G12" s="28">
        <v>1</v>
      </c>
      <c r="H12" s="28">
        <v>2</v>
      </c>
      <c r="I12" s="28">
        <v>3</v>
      </c>
      <c r="J12" s="28">
        <v>4</v>
      </c>
      <c r="K12" s="28">
        <v>5</v>
      </c>
    </row>
    <row r="13" spans="3:11" x14ac:dyDescent="0.3">
      <c r="D13" s="29">
        <v>43800</v>
      </c>
      <c r="E13" s="29">
        <v>44166</v>
      </c>
      <c r="F13" s="29">
        <v>44377</v>
      </c>
      <c r="G13" s="29">
        <f>EDATE(F13,12)</f>
        <v>44742</v>
      </c>
      <c r="H13" s="29">
        <f t="shared" ref="H13:K13" si="0">EDATE(G13,12)</f>
        <v>45107</v>
      </c>
      <c r="I13" s="29">
        <f t="shared" si="0"/>
        <v>45473</v>
      </c>
      <c r="J13" s="29">
        <f t="shared" si="0"/>
        <v>45838</v>
      </c>
      <c r="K13" s="29">
        <f t="shared" si="0"/>
        <v>46203</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Lookups!$I$29:$I$31</xm:f>
          </x14:formula1>
          <xm:sqref>D3 D5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8" tint="-0.249977111117893"/>
  </sheetPr>
  <dimension ref="C3:C4"/>
  <sheetViews>
    <sheetView zoomScale="85" zoomScaleNormal="85" zoomScalePageLayoutView="125" workbookViewId="0">
      <selection activeCell="D23" sqref="D23"/>
    </sheetView>
  </sheetViews>
  <sheetFormatPr defaultColWidth="8.88671875" defaultRowHeight="14.4" x14ac:dyDescent="0.3"/>
  <cols>
    <col min="1" max="16384" width="8.88671875" style="22"/>
  </cols>
  <sheetData>
    <row r="3" spans="3:3" ht="18" x14ac:dyDescent="0.35">
      <c r="C3" s="21" t="s">
        <v>9</v>
      </c>
    </row>
    <row r="4" spans="3:3" x14ac:dyDescent="0.3">
      <c r="C4" s="26" t="s">
        <v>6</v>
      </c>
    </row>
  </sheetData>
  <hyperlinks>
    <hyperlink ref="C4" location="Contents!A1" display="Table of Contents" xr:uid="{00000000-0004-0000-0700-000000000000}"/>
  </hyperlink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27</vt:i4>
      </vt:variant>
    </vt:vector>
  </HeadingPairs>
  <TitlesOfParts>
    <vt:vector size="69" baseType="lpstr">
      <vt:lpstr>ASD Comments</vt:lpstr>
      <vt:lpstr>Contents</vt:lpstr>
      <vt:lpstr>Assumptions</vt:lpstr>
      <vt:lpstr>Lookups -&gt;</vt:lpstr>
      <vt:lpstr>Lab_Mat</vt:lpstr>
      <vt:lpstr>Escalators</vt:lpstr>
      <vt:lpstr>Lookups</vt:lpstr>
      <vt:lpstr>START</vt:lpstr>
      <vt:lpstr>Inputs -&gt;</vt:lpstr>
      <vt:lpstr>Augmentation</vt:lpstr>
      <vt:lpstr>Connections</vt:lpstr>
      <vt:lpstr>Major_Rebuilds</vt:lpstr>
      <vt:lpstr>Stations</vt:lpstr>
      <vt:lpstr>Lines</vt:lpstr>
      <vt:lpstr>PC&amp;A</vt:lpstr>
      <vt:lpstr>SCADA&amp;Comms</vt:lpstr>
      <vt:lpstr>ESL_1</vt:lpstr>
      <vt:lpstr>ESL_2</vt:lpstr>
      <vt:lpstr>REFCL</vt:lpstr>
      <vt:lpstr>ICT</vt:lpstr>
      <vt:lpstr>Metering_SCS</vt:lpstr>
      <vt:lpstr>Other_NN</vt:lpstr>
      <vt:lpstr>Downer_Contract</vt:lpstr>
      <vt:lpstr>Aggregations &amp; Alloc -&gt;</vt:lpstr>
      <vt:lpstr>Base_Forecast</vt:lpstr>
      <vt:lpstr>Reg_Forecast</vt:lpstr>
      <vt:lpstr>Capex_by_Driver</vt:lpstr>
      <vt:lpstr>Safety</vt:lpstr>
      <vt:lpstr>AusNet_Overheads</vt:lpstr>
      <vt:lpstr>Outputs -&gt;</vt:lpstr>
      <vt:lpstr>RFM_PTRM</vt:lpstr>
      <vt:lpstr>Capex_2016-2026</vt:lpstr>
      <vt:lpstr>DER</vt:lpstr>
      <vt:lpstr>REFCL_view</vt:lpstr>
      <vt:lpstr>RIN Template -&gt;</vt:lpstr>
      <vt:lpstr>2.1 Exp Summary</vt:lpstr>
      <vt:lpstr>2.1.8 Cap Overheads</vt:lpstr>
      <vt:lpstr>2.6 Non-Network</vt:lpstr>
      <vt:lpstr>2.11 Labour</vt:lpstr>
      <vt:lpstr>2.17 Step Changes</vt:lpstr>
      <vt:lpstr>Other -&gt;</vt:lpstr>
      <vt:lpstr>Repex_Analysis</vt:lpstr>
      <vt:lpstr>Act_Type_Augex</vt:lpstr>
      <vt:lpstr>Act_Type_Augex_Splits</vt:lpstr>
      <vt:lpstr>Act_Type_Connections</vt:lpstr>
      <vt:lpstr>Act_Type_Connections_Splits</vt:lpstr>
      <vt:lpstr>Act_Type_Repex</vt:lpstr>
      <vt:lpstr>Act_Type_Repex_Splits</vt:lpstr>
      <vt:lpstr>CP_Yr_4</vt:lpstr>
      <vt:lpstr>CP_Yr_5</vt:lpstr>
      <vt:lpstr>CReg_Period</vt:lpstr>
      <vt:lpstr>Direct_Cost_Splits_Network</vt:lpstr>
      <vt:lpstr>Direct_Cost_Splits_Non_Ntwk</vt:lpstr>
      <vt:lpstr>Direct_Cost_Type</vt:lpstr>
      <vt:lpstr>Mat_Type</vt:lpstr>
      <vt:lpstr>Millions</vt:lpstr>
      <vt:lpstr>NReg_Period</vt:lpstr>
      <vt:lpstr>'2.17 Step Changes'!Print_Area</vt:lpstr>
      <vt:lpstr>Contents!Print_Area</vt:lpstr>
      <vt:lpstr>RIN_Asset_Cat_Network</vt:lpstr>
      <vt:lpstr>RIN_Asset_Cat_Non_Ntwk</vt:lpstr>
      <vt:lpstr>Stub</vt:lpstr>
      <vt:lpstr>Downer_Contract!Thousands</vt:lpstr>
      <vt:lpstr>Thousands</vt:lpstr>
      <vt:lpstr>Yr_1</vt:lpstr>
      <vt:lpstr>Yr_2</vt:lpstr>
      <vt:lpstr>Yr_3</vt:lpstr>
      <vt:lpstr>Yr_4</vt:lpstr>
      <vt:lpstr>Yr_5</vt:lpstr>
    </vt:vector>
  </TitlesOfParts>
  <Company>SP AusNet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Martin</dc:creator>
  <cp:lastModifiedBy>Steven Martin</cp:lastModifiedBy>
  <cp:lastPrinted>2019-07-17T06:27:56Z</cp:lastPrinted>
  <dcterms:created xsi:type="dcterms:W3CDTF">2014-11-10T04:49:25Z</dcterms:created>
  <dcterms:modified xsi:type="dcterms:W3CDTF">2020-06-23T07:06:28Z</dcterms:modified>
</cp:coreProperties>
</file>